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wia\Desktop\uchwały na IX sesję RG\"/>
    </mc:Choice>
  </mc:AlternateContent>
  <xr:revisionPtr revIDLastSave="0" documentId="8_{8634F35E-791D-4EED-9C66-E576841D2C12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Kalkulacja 2025" sheetId="11" r:id="rId1"/>
    <sheet name="ZUK - Dane zbiorcze" sheetId="1" r:id="rId2"/>
    <sheet name="I. Amortyzacja" sheetId="2" r:id="rId3"/>
    <sheet name="II. ZFŚS" sheetId="3" r:id="rId4"/>
    <sheet name="III. podatek transportowy" sheetId="4" r:id="rId5"/>
    <sheet name="IV. Polisy OC" sheetId="5" r:id="rId6"/>
    <sheet name="V. Paliwo" sheetId="6" r:id="rId7"/>
    <sheet name="VI. Wynagrodzenia oraz ZUS" sheetId="7" r:id="rId8"/>
    <sheet name="VII. Pozostałe koszty odpadów" sheetId="8" r:id="rId9"/>
    <sheet name="VIII. Koszty Administracji" sheetId="9" r:id="rId10"/>
    <sheet name="IX. Koszty zakupu hakowca" sheetId="10" r:id="rId11"/>
  </sheets>
  <calcPr calcId="191029"/>
</workbook>
</file>

<file path=xl/calcChain.xml><?xml version="1.0" encoding="utf-8"?>
<calcChain xmlns="http://schemas.openxmlformats.org/spreadsheetml/2006/main">
  <c r="H21" i="7" l="1"/>
  <c r="C13" i="2" l="1"/>
  <c r="E22" i="10" l="1"/>
  <c r="E16" i="10"/>
  <c r="E26" i="10" s="1"/>
  <c r="H5" i="10"/>
  <c r="O17" i="1" l="1"/>
  <c r="H17" i="1"/>
  <c r="K29" i="7"/>
  <c r="K28" i="7"/>
  <c r="H25" i="7"/>
  <c r="H24" i="7"/>
  <c r="F19" i="7"/>
  <c r="H19" i="7" s="1"/>
  <c r="F18" i="7"/>
  <c r="H18" i="7" s="1"/>
  <c r="K30" i="7" l="1"/>
  <c r="H28" i="7" s="1"/>
  <c r="H22" i="7"/>
  <c r="H26" i="7" s="1"/>
  <c r="H27" i="7" s="1"/>
  <c r="H29" i="7" l="1"/>
  <c r="O12" i="1" l="1"/>
  <c r="H14" i="1"/>
  <c r="H13" i="1"/>
  <c r="H12" i="1"/>
  <c r="H11" i="1"/>
  <c r="H10" i="1"/>
  <c r="O14" i="1"/>
  <c r="O13" i="1"/>
  <c r="O11" i="1"/>
  <c r="O10" i="1"/>
  <c r="D29" i="11" l="1"/>
  <c r="E23" i="11"/>
  <c r="F23" i="11" s="1"/>
  <c r="E22" i="11"/>
  <c r="F22" i="11" s="1"/>
  <c r="E17" i="11"/>
  <c r="E16" i="11"/>
  <c r="F16" i="11" s="1"/>
  <c r="D14" i="11"/>
  <c r="E14" i="11" s="1"/>
  <c r="D13" i="11"/>
  <c r="D30" i="11" s="1"/>
  <c r="J12" i="11"/>
  <c r="D31" i="11" s="1"/>
  <c r="E31" i="11" s="1"/>
  <c r="F31" i="11" s="1"/>
  <c r="F11" i="11"/>
  <c r="E20" i="11" l="1"/>
  <c r="D32" i="11"/>
  <c r="F14" i="11"/>
  <c r="F12" i="11" s="1"/>
  <c r="E12" i="11"/>
  <c r="D20" i="11"/>
  <c r="F17" i="11"/>
  <c r="F20" i="11" s="1"/>
  <c r="F29" i="11" l="1"/>
  <c r="F13" i="11"/>
  <c r="F30" i="11" s="1"/>
  <c r="E29" i="11"/>
  <c r="E13" i="11"/>
  <c r="E30" i="11" s="1"/>
  <c r="E32" i="11" l="1"/>
  <c r="F32" i="11"/>
  <c r="G17" i="9" l="1"/>
  <c r="F17" i="9"/>
  <c r="E17" i="9"/>
  <c r="D17" i="9"/>
  <c r="O8" i="1"/>
  <c r="H8" i="1"/>
  <c r="M11" i="6"/>
  <c r="F11" i="6"/>
  <c r="O7" i="1"/>
  <c r="H7" i="1"/>
  <c r="H9" i="5"/>
  <c r="O6" i="7"/>
  <c r="H6" i="7"/>
  <c r="L18" i="3"/>
  <c r="L14" i="3"/>
  <c r="E18" i="3"/>
  <c r="E20" i="3" s="1"/>
  <c r="H7" i="3" s="1"/>
  <c r="H5" i="1" s="1"/>
  <c r="E14" i="3"/>
  <c r="H16" i="1"/>
  <c r="D24" i="9"/>
  <c r="D26" i="9" s="1"/>
  <c r="O6" i="1"/>
  <c r="H6" i="1"/>
  <c r="H9" i="4"/>
  <c r="O4" i="1"/>
  <c r="H4" i="1"/>
  <c r="O8" i="8"/>
  <c r="O5" i="8" s="1"/>
  <c r="O15" i="1" s="1"/>
  <c r="H8" i="8"/>
  <c r="O48" i="1"/>
  <c r="O47" i="1"/>
  <c r="H48" i="1"/>
  <c r="H47" i="1"/>
  <c r="N23" i="1"/>
  <c r="O9" i="1"/>
  <c r="H9" i="1"/>
  <c r="H38" i="1"/>
  <c r="G23" i="1"/>
  <c r="D9" i="9" l="1"/>
  <c r="K9" i="9"/>
  <c r="L20" i="3"/>
  <c r="O7" i="3" s="1"/>
  <c r="O5" i="1" s="1"/>
  <c r="H9" i="9"/>
  <c r="O9" i="9"/>
  <c r="O6" i="9" s="1"/>
  <c r="O16" i="1" s="1"/>
  <c r="O20" i="1" s="1"/>
  <c r="O24" i="1" s="1"/>
  <c r="H20" i="1"/>
  <c r="H24" i="1" s="1"/>
  <c r="H23" i="1" l="1"/>
  <c r="H25" i="1" s="1"/>
  <c r="H32" i="1" s="1"/>
  <c r="O23" i="1"/>
  <c r="O25" i="1" s="1"/>
  <c r="O26" i="1" s="1"/>
  <c r="O33" i="1" s="1"/>
  <c r="O42" i="1" s="1"/>
  <c r="F18" i="11" s="1"/>
  <c r="D18" i="11" l="1"/>
  <c r="D21" i="11" s="1"/>
  <c r="D24" i="11" s="1"/>
  <c r="D33" i="11" s="1"/>
  <c r="D34" i="11" s="1"/>
  <c r="E18" i="11"/>
  <c r="E21" i="11" s="1"/>
  <c r="E24" i="11" s="1"/>
  <c r="E33" i="11" s="1"/>
  <c r="E34" i="11" s="1"/>
  <c r="F21" i="11"/>
  <c r="F24" i="11" s="1"/>
  <c r="F33" i="11" s="1"/>
  <c r="F34" i="11" s="1"/>
  <c r="H26" i="1"/>
  <c r="H33" i="1" s="1"/>
  <c r="H42" i="1" s="1"/>
  <c r="H43" i="1" s="1"/>
  <c r="O32" i="1"/>
  <c r="O37" i="1" s="1"/>
  <c r="O38" i="1" s="1"/>
  <c r="O43" i="1"/>
  <c r="N49" i="1"/>
  <c r="O49" i="1" s="1"/>
  <c r="G49" i="1" l="1"/>
  <c r="H49" i="1" s="1"/>
</calcChain>
</file>

<file path=xl/sharedStrings.xml><?xml version="1.0" encoding="utf-8"?>
<sst xmlns="http://schemas.openxmlformats.org/spreadsheetml/2006/main" count="475" uniqueCount="285">
  <si>
    <t>I.</t>
  </si>
  <si>
    <t>III.</t>
  </si>
  <si>
    <t>IV.</t>
  </si>
  <si>
    <t>V.</t>
  </si>
  <si>
    <t>VI.</t>
  </si>
  <si>
    <t>II.</t>
  </si>
  <si>
    <t>VII.</t>
  </si>
  <si>
    <t>VIII.</t>
  </si>
  <si>
    <t>IX.</t>
  </si>
  <si>
    <t>Amortyzacja</t>
  </si>
  <si>
    <t>ZFŚS</t>
  </si>
  <si>
    <t>Podatek transportowy:</t>
  </si>
  <si>
    <t>OC</t>
  </si>
  <si>
    <t>Paliwo</t>
  </si>
  <si>
    <t>Wynagrodzenia + ZUS</t>
  </si>
  <si>
    <t>Pozostałe koszty odpadów</t>
  </si>
  <si>
    <t>Koszty administracyjne przypadające na działalność odpadową</t>
  </si>
  <si>
    <t>Zlecenia</t>
  </si>
  <si>
    <t xml:space="preserve">Wynagrodzenia  </t>
  </si>
  <si>
    <t>Nadgodziny</t>
  </si>
  <si>
    <t>Premia roczna</t>
  </si>
  <si>
    <t>Odprawy i nagrody jubileuszowe</t>
  </si>
  <si>
    <t>Kwota (netto)</t>
  </si>
  <si>
    <t>Zbieranie od mieszkańców</t>
  </si>
  <si>
    <t>Zbieranie od przedsiębiorców</t>
  </si>
  <si>
    <t>Koszty zbierania od mieszkańców plus marża 3 % (kwota netto)</t>
  </si>
  <si>
    <t>Koszty zbierania od mieszkańców plus marża 3 % (kwota brutto)</t>
  </si>
  <si>
    <t>VAT</t>
  </si>
  <si>
    <t>Prognozowana ilość odpadów w (T)</t>
  </si>
  <si>
    <t>Prognozowana kwota jednostkowa netto za tonę (PLN)</t>
  </si>
  <si>
    <t>Prognozowana kwota jednostkowa brutto za tonę (PLN)</t>
  </si>
  <si>
    <t>poprzednia stawka brutto</t>
  </si>
  <si>
    <t>nowa stawka brutto</t>
  </si>
  <si>
    <t>Róznica</t>
  </si>
  <si>
    <t>poprzednia stawka netto</t>
  </si>
  <si>
    <t>nowa stawka netto</t>
  </si>
  <si>
    <t>Różnica</t>
  </si>
  <si>
    <t>Razem koszty działałności odpadowej</t>
  </si>
  <si>
    <t>Działalność Odpadowa w podziale na mieszkańców i firmy:</t>
  </si>
  <si>
    <t>poziom wg poprzedniego roku</t>
  </si>
  <si>
    <t>Koszty działalności odpadowej:</t>
  </si>
  <si>
    <t>Prognozowana masa odpadów</t>
  </si>
  <si>
    <t>Kalkulacja ZUK na 7 października 2024r. Przekazana do Urzędu Gminy Zławieś Wielka</t>
  </si>
  <si>
    <t>Koszty zakupu hakowca, ubezpieczenie paliwo, podatek transportowy</t>
  </si>
  <si>
    <t xml:space="preserve">Kalkulacja po korekcie Gminy dokonanej w listopadzie 2024r. </t>
  </si>
  <si>
    <t>Kalkulacja stawki za tonę odpadów</t>
  </si>
  <si>
    <t>Porównanie stawek za tonę 2024/2025</t>
  </si>
  <si>
    <t>Łączna kwota z budżetu Gminy za odpady 2024/2025</t>
  </si>
  <si>
    <t>*</t>
  </si>
  <si>
    <t>kalkulacja zawiera ilość ton z uwzględnieniem danych z wykonania i prognozy przekazanych z Miasta Toruń w dniu 14.11.2024r.</t>
  </si>
  <si>
    <t xml:space="preserve">Prognoza </t>
  </si>
  <si>
    <t>Koszt budżetu Gminy</t>
  </si>
  <si>
    <t>Wykonanie</t>
  </si>
  <si>
    <t>Inflacja przyjęta do kalk</t>
  </si>
  <si>
    <t>Zakładano 10% wzrost, bez wiedzy nt. zakładanego wzrostu podatku</t>
  </si>
  <si>
    <t>wykonanie za 8 zamkniętych miesięcy</t>
  </si>
  <si>
    <t>Stawka (pln)</t>
  </si>
  <si>
    <t>Masa (T)</t>
  </si>
  <si>
    <t>Kalkulacja dla 14 pracowników + 1 emerty</t>
  </si>
  <si>
    <t>Ilosć pracowników</t>
  </si>
  <si>
    <t>Odpis na ZfŚS na osobę</t>
  </si>
  <si>
    <t>Razem:</t>
  </si>
  <si>
    <t>Odpis na ZFŚS:</t>
  </si>
  <si>
    <t>Ilosć emerytów:</t>
  </si>
  <si>
    <t>Łączna kwota odpisu:</t>
  </si>
  <si>
    <t>A</t>
  </si>
  <si>
    <t>B</t>
  </si>
  <si>
    <t>A+B</t>
  </si>
  <si>
    <t>Kwota za OC z roku 2024</t>
  </si>
  <si>
    <t>wzrost składki</t>
  </si>
  <si>
    <t>wzrost zużycia</t>
  </si>
  <si>
    <t>prognozowana cena</t>
  </si>
  <si>
    <t>Zużycie w litrach w 2023</t>
  </si>
  <si>
    <t>średniomiesięczny koszt administracji (pozycja wyżej podzielona przez 8)</t>
  </si>
  <si>
    <t>prognozowany roczny koszt administracji (pozycja wyżej pomnożona przez 12)</t>
  </si>
  <si>
    <t>Koszty administracji całego zakładu za 8 zamkniętych miesiący 2024 roku netto</t>
  </si>
  <si>
    <t>Dowozy dzieci do szkół</t>
  </si>
  <si>
    <t>Zbieranie i transport odpadów</t>
  </si>
  <si>
    <t>Woda</t>
  </si>
  <si>
    <t>Ścieki</t>
  </si>
  <si>
    <t>Do kosztów administracji wliczane są:</t>
  </si>
  <si>
    <r>
      <t xml:space="preserve">kalkulacja uwzględniała ilość ton </t>
    </r>
    <r>
      <rPr>
        <b/>
        <u/>
        <sz val="11"/>
        <color theme="1"/>
        <rFont val="Calibri"/>
        <family val="2"/>
        <charset val="238"/>
        <scheme val="minor"/>
      </rPr>
      <t>bez danych</t>
    </r>
    <r>
      <rPr>
        <sz val="11"/>
        <color theme="1"/>
        <rFont val="Calibri"/>
        <family val="2"/>
        <charset val="238"/>
        <scheme val="minor"/>
      </rPr>
      <t xml:space="preserve"> z wykonania i prognozy przekazanych z Miasta Toruń w dniu 14.11.2024r.</t>
    </r>
  </si>
  <si>
    <t>KALKULACJA OPŁAT ZA GOSPODAROWANIE ODPADAMI KOMUNALNYMI W ROKU 2025 W GMINIE ZŁAWIEŚ WIELKA</t>
  </si>
  <si>
    <t>Przyjęto założenie, że suma przychodów będzie równa kosztom.</t>
  </si>
  <si>
    <t>Elementami składowymi przychodów są prognozowane wpłaty mieszkańców w okresie obowiązywania nowych opłat, tj. od 01.01.2025-31.12.2025 r. pomniejszone o ulgę BIO</t>
  </si>
  <si>
    <t>Elementami składowymi kosztów są prognozowane koszty odbioru i transportu odpadów komunalnych, koszty zagospodarowania odpadów w Instalacji komunalnej w Toruniu oraz koszty administracyjne gminy wraz z utrzymaniem punktu selektywnej zbiórki odpadów komunalnych w Rzęczkowie.</t>
  </si>
  <si>
    <t>Tabela 1. Kalkulacja wysokości opłat</t>
  </si>
  <si>
    <t>L.p.</t>
  </si>
  <si>
    <t>Nazwa</t>
  </si>
  <si>
    <t>Jednostka</t>
  </si>
  <si>
    <t>Prognoza wg obecnych opłat</t>
  </si>
  <si>
    <t>Wariant 1</t>
  </si>
  <si>
    <t>Wariant 2</t>
  </si>
  <si>
    <t>Tabela 2. Ulga BIO</t>
  </si>
  <si>
    <t>Jedn.</t>
  </si>
  <si>
    <t>Stan na 30.09.2023</t>
  </si>
  <si>
    <t>DANE WEJŚCIOWE</t>
  </si>
  <si>
    <t>Osoby korzystające z ulgi</t>
  </si>
  <si>
    <t>szt.</t>
  </si>
  <si>
    <t>Liczba mieszkańców</t>
  </si>
  <si>
    <t>Kwota zwolnienia BIO</t>
  </si>
  <si>
    <t>zł</t>
  </si>
  <si>
    <t>Liczba mieszkańców 1-5</t>
  </si>
  <si>
    <t>Zmniejszenie przychodów gminy</t>
  </si>
  <si>
    <t>Liczba mieszkańców powyżej 5</t>
  </si>
  <si>
    <t>Wskaźnik struktury 1-5</t>
  </si>
  <si>
    <t>%</t>
  </si>
  <si>
    <t>Wskaźnik ściągalności</t>
  </si>
  <si>
    <t>Masa odpadów komunalnych</t>
  </si>
  <si>
    <t>Mg</t>
  </si>
  <si>
    <t>Cena brutto zagospodarowania 1 Mg odpadu (średnio) w instalacji komunalnej</t>
  </si>
  <si>
    <t>zł/Mg</t>
  </si>
  <si>
    <t>Cena brutto za odbiór i transport 1 Mg odpadu</t>
  </si>
  <si>
    <t>KOSZTY</t>
  </si>
  <si>
    <t>Koszty zagospodarowania</t>
  </si>
  <si>
    <t>PLN</t>
  </si>
  <si>
    <t>Koszty odbioru i transportu</t>
  </si>
  <si>
    <t>Koszty administracyjne gminy + PSZOK</t>
  </si>
  <si>
    <t>WIOŚ poziomy recyklingu</t>
  </si>
  <si>
    <t>Koszty razem</t>
  </si>
  <si>
    <t>STAWKI</t>
  </si>
  <si>
    <t>Stawka za osobę w przedziale 1-5</t>
  </si>
  <si>
    <t>zł/mc</t>
  </si>
  <si>
    <t>Stawka za osobę w przedziale powyżej 5</t>
  </si>
  <si>
    <t>PRZYCHODY</t>
  </si>
  <si>
    <t>Przychody z 1-5</t>
  </si>
  <si>
    <t>Przychody powyżej 5</t>
  </si>
  <si>
    <t>Ulga BIO - zmniejszenie przychodów</t>
  </si>
  <si>
    <t>Prognozowane przychody systemu gospodarowania odpadami</t>
  </si>
  <si>
    <t>Prognozowane koszty systemu gospodarowania odpadami</t>
  </si>
  <si>
    <t>SALDO</t>
  </si>
  <si>
    <t>Objaśnienia do kalkulacji</t>
  </si>
  <si>
    <t>1. Za okres rozliczeniowy przyjęto rok obrotowy 2025.</t>
  </si>
  <si>
    <t>2. Za okres obowiazywania nowych opłat za gospodarowanie odpadami komunalnymi przyjęto okres od 1.01.2025 do 31.12.2025 r.</t>
  </si>
  <si>
    <t>3. Wskaźnik ściągalności wyznaczono w wyniku analizy szeregów czasowych wynikających z danych gminy za lata 2020-2023 r.</t>
  </si>
  <si>
    <t>4. Liczba mieszkańców gminy oraz wskaźnik struktury określono na podstawie złożonych deklaracji.</t>
  </si>
  <si>
    <t>5. Prognozowane przychody za gospodarowanie odpadami w gminie wynikają z iloczynu liczby mieszkańców w poszczególnych grupach, opłat za gospodarowanie odpadami, okresu obowiązywania nowych opłat oraz wskaźnika ściągalności.</t>
  </si>
  <si>
    <t>6. Kwota zwolnienia BIO wynika z tabeli nr 2</t>
  </si>
  <si>
    <t>7. Jednostka 1 Mg oznacza 1 tonę odpadu.</t>
  </si>
  <si>
    <t>Koszty rodzajowe pozostałe (grupa IV), które nie są wskazane w pozycji od I do VII, czyli nie są powtarzalne i możliwe do jednoznacznego określenia:</t>
  </si>
  <si>
    <t>np. koszty BHP, materiały podstawowe (zakup worków do segregacji), oleje do śmieciarki i płyny hydrauliczne, części zamienne, materiały eksploatacyjne, usługi rózne (transport z PSZOK lub portu Drzewnego Hakowcem), mechanicy, opłaty administracyjne, przeglądy techniczne, okazjonalna diagnostyka komputerowa, medycyna pracy, zakup środków czystości</t>
  </si>
  <si>
    <t>Zakład Usług Komunalnych
Zławieś Wielka Sp. z o. o.</t>
  </si>
  <si>
    <t>Narastający wykaz kosztów do bieżącej analizy na koniec 08/2024</t>
  </si>
  <si>
    <t>Konto</t>
  </si>
  <si>
    <t>Nazwa konta</t>
  </si>
  <si>
    <t>Kanalizacja</t>
  </si>
  <si>
    <t>Odpady</t>
  </si>
  <si>
    <t>Autobusy</t>
  </si>
  <si>
    <t>Administracja</t>
  </si>
  <si>
    <t>Suma</t>
  </si>
  <si>
    <t xml:space="preserve">27,07% administracji </t>
  </si>
  <si>
    <t>Zużycie materiałów i energii</t>
  </si>
  <si>
    <t>402-1</t>
  </si>
  <si>
    <t>Materiały podstawowe</t>
  </si>
  <si>
    <t>402-2</t>
  </si>
  <si>
    <t>Paliwo, oleje</t>
  </si>
  <si>
    <t>402-3</t>
  </si>
  <si>
    <t>Energia elektryczna</t>
  </si>
  <si>
    <t>402-4</t>
  </si>
  <si>
    <t>Węgiel</t>
  </si>
  <si>
    <t>402-5</t>
  </si>
  <si>
    <t>Części zamienne</t>
  </si>
  <si>
    <t>Usługi obce</t>
  </si>
  <si>
    <t>403-1</t>
  </si>
  <si>
    <t>Remonty, naprawy</t>
  </si>
  <si>
    <t>403-2</t>
  </si>
  <si>
    <t>Usługi różne</t>
  </si>
  <si>
    <t>403-3</t>
  </si>
  <si>
    <t>Usługi internetowe</t>
  </si>
  <si>
    <t>403-4</t>
  </si>
  <si>
    <t>Telefony komórkowe</t>
  </si>
  <si>
    <t>403-5</t>
  </si>
  <si>
    <t>Telefon stacjonarny</t>
  </si>
  <si>
    <t>403-6</t>
  </si>
  <si>
    <t>Ekspertyzy</t>
  </si>
  <si>
    <t>403-7</t>
  </si>
  <si>
    <t>Opł. administrowanie i czynsze</t>
  </si>
  <si>
    <t>403-8</t>
  </si>
  <si>
    <t>Usługi na inwestycje</t>
  </si>
  <si>
    <t>Podatki i opłaty</t>
  </si>
  <si>
    <t>404-11</t>
  </si>
  <si>
    <t>PFRON</t>
  </si>
  <si>
    <t>404-2</t>
  </si>
  <si>
    <t>VAT niepodlegający zwrotowi</t>
  </si>
  <si>
    <t>404-3</t>
  </si>
  <si>
    <t>Podatek od nieruchomości</t>
  </si>
  <si>
    <t>404-4</t>
  </si>
  <si>
    <t>Podatek od śr. transportowych</t>
  </si>
  <si>
    <t>404-5</t>
  </si>
  <si>
    <t>Opłata za użytkowanie wieczyste</t>
  </si>
  <si>
    <t>404-6</t>
  </si>
  <si>
    <t>Inne podatki i opłaty lokalne</t>
  </si>
  <si>
    <t>404-7</t>
  </si>
  <si>
    <t>Podatek akcyzowy</t>
  </si>
  <si>
    <t>404-8</t>
  </si>
  <si>
    <t>Opłaty skarbowe, urzędowe, sądowe</t>
  </si>
  <si>
    <t>404-9</t>
  </si>
  <si>
    <t>Pozostałe opłaty</t>
  </si>
  <si>
    <t>Wynagrodzenia</t>
  </si>
  <si>
    <t>405-1</t>
  </si>
  <si>
    <t>Wynagrodzenia osobowe</t>
  </si>
  <si>
    <t>405-2</t>
  </si>
  <si>
    <t>Dodatkowe wynagrodzenie</t>
  </si>
  <si>
    <t>405-3</t>
  </si>
  <si>
    <t>Umowa zlecenie i o dzieło (kontrakt)</t>
  </si>
  <si>
    <t>405-4</t>
  </si>
  <si>
    <t>Pozostałe wynagrodzenia</t>
  </si>
  <si>
    <t>405-5</t>
  </si>
  <si>
    <t>Wynagrodzenie Rady Nadzorczej</t>
  </si>
  <si>
    <t>Ubezpieczenia społeczne</t>
  </si>
  <si>
    <t>406-1</t>
  </si>
  <si>
    <t>Składki na ubezpieczenie społeczne</t>
  </si>
  <si>
    <t>406-2</t>
  </si>
  <si>
    <t>Zakładowy fundusz świadczeń socjalnych</t>
  </si>
  <si>
    <t>406-3</t>
  </si>
  <si>
    <t>Koszty BHP</t>
  </si>
  <si>
    <t>406-4</t>
  </si>
  <si>
    <t>Szkolenia pracowników</t>
  </si>
  <si>
    <t>406-5</t>
  </si>
  <si>
    <t>Usługi medyczne pracowników</t>
  </si>
  <si>
    <t>406-6</t>
  </si>
  <si>
    <t>Pozostałe koszty</t>
  </si>
  <si>
    <t>406-7</t>
  </si>
  <si>
    <t>Składka na FP i FGŚP</t>
  </si>
  <si>
    <t>406-8</t>
  </si>
  <si>
    <t>Składki ZUS od umów zlecenie i o dzieło</t>
  </si>
  <si>
    <t>406-9</t>
  </si>
  <si>
    <t>Pracownicze Plany Kapitałowe</t>
  </si>
  <si>
    <t>407-1</t>
  </si>
  <si>
    <t>Podróże służbowe - delegacja</t>
  </si>
  <si>
    <t>407-2</t>
  </si>
  <si>
    <t>Ubezpieczenia majątkowe</t>
  </si>
  <si>
    <t>407-3</t>
  </si>
  <si>
    <t>Koszty reprezentacji</t>
  </si>
  <si>
    <t>407-4</t>
  </si>
  <si>
    <t>Ekwiwalent za ryczałt samochodowy</t>
  </si>
  <si>
    <t>407-5</t>
  </si>
  <si>
    <t>Inne koszty, opłaty, składki</t>
  </si>
  <si>
    <t>407-6</t>
  </si>
  <si>
    <t>Koszty niestanowiące KUP</t>
  </si>
  <si>
    <t>407-7</t>
  </si>
  <si>
    <t>Polisy OC</t>
  </si>
  <si>
    <t>407-8</t>
  </si>
  <si>
    <t xml:space="preserve">Inne koszty  </t>
  </si>
  <si>
    <t>Suma kosztów kont rodzajowych</t>
  </si>
  <si>
    <t>Amortyzacja przypadająca na samochody specjalistyczne (śmieciarki):</t>
  </si>
  <si>
    <t>Amortyzacja przypadająca na elementy wyposażenia i inne elementy wykorzystywane do obsługi odbioru odpadów.</t>
  </si>
  <si>
    <t>Klucz podziału kosztów administracji w danym obszarze działalności to % przychodów danego obszaru do całości przychodów spółki za ostatni zamknięty rok obrotowy.</t>
  </si>
  <si>
    <t>Wartość wg prognozowanej nieprzyjętej uchwały</t>
  </si>
  <si>
    <t>roczne wynagrodzenie</t>
  </si>
  <si>
    <t xml:space="preserve">nadgodz. </t>
  </si>
  <si>
    <t>średnia stawka wg norm godzin roku 2025</t>
  </si>
  <si>
    <t>kierowcy</t>
  </si>
  <si>
    <t>skrzydłowi</t>
  </si>
  <si>
    <t>administracja - 2 osoby</t>
  </si>
  <si>
    <t>premia</t>
  </si>
  <si>
    <t>"13"</t>
  </si>
  <si>
    <t>nadgodziny 1800h*61 zł</t>
  </si>
  <si>
    <t>premia roczna 14*1500</t>
  </si>
  <si>
    <t>zlecenia 688 h*30,5 zł</t>
  </si>
  <si>
    <t>razem :</t>
  </si>
  <si>
    <t>ZUS</t>
  </si>
  <si>
    <t>Odprawa+n.jubileuszowa</t>
  </si>
  <si>
    <t xml:space="preserve">odprawa </t>
  </si>
  <si>
    <t>RAZEM:</t>
  </si>
  <si>
    <t>n.jubiluszowa</t>
  </si>
  <si>
    <t xml:space="preserve">IX. </t>
  </si>
  <si>
    <t xml:space="preserve">koszt hakowca </t>
  </si>
  <si>
    <t>1.</t>
  </si>
  <si>
    <t xml:space="preserve">leasing roczny </t>
  </si>
  <si>
    <t>2.</t>
  </si>
  <si>
    <t xml:space="preserve">ubezpieczenie </t>
  </si>
  <si>
    <t>3.</t>
  </si>
  <si>
    <t xml:space="preserve">paliwo </t>
  </si>
  <si>
    <t>4.</t>
  </si>
  <si>
    <t xml:space="preserve">podatek transportowy </t>
  </si>
  <si>
    <t xml:space="preserve">Koszty zakupu i utrzymania samochodu typu " hakowiec" </t>
  </si>
  <si>
    <t xml:space="preserve">cena zakupu netto </t>
  </si>
  <si>
    <t xml:space="preserve">ilość lat leasingu </t>
  </si>
  <si>
    <t xml:space="preserve">Roczny koszt </t>
  </si>
  <si>
    <t xml:space="preserve">roczny koszt ubezpieczenia </t>
  </si>
  <si>
    <t xml:space="preserve">ilość litrów </t>
  </si>
  <si>
    <t xml:space="preserve">cena za litr </t>
  </si>
  <si>
    <t>1+2+3+4</t>
  </si>
  <si>
    <t>Łączna kwota utrzymania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</si>
</sst>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z_ł_-;\-* #,##0\ _z_ł_-;_-* &quot;-&quot;\ _z_ł_-;_-@_-"/>
    <numFmt numFmtId="165" formatCode="_-* #,##0.00\ _z_ł_-;\-* #,##0.00\ _z_ł_-;_-* &quot;-&quot;??\ _z_ł_-;_-@_-"/>
    <numFmt numFmtId="166" formatCode="0.0%"/>
    <numFmt numFmtId="167" formatCode="#,##0.000"/>
    <numFmt numFmtId="168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2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0" borderId="0" xfId="1" applyFont="1" applyAlignment="1">
      <alignment horizontal="center"/>
    </xf>
    <xf numFmtId="0" fontId="0" fillId="0" borderId="0" xfId="0" applyAlignment="1">
      <alignment vertical="center"/>
    </xf>
    <xf numFmtId="9" fontId="0" fillId="0" borderId="0" xfId="0" applyNumberFormat="1"/>
    <xf numFmtId="165" fontId="0" fillId="0" borderId="0" xfId="1" applyFont="1"/>
    <xf numFmtId="0" fontId="0" fillId="0" borderId="3" xfId="0" applyBorder="1" applyAlignment="1">
      <alignment vertical="center" wrapText="1"/>
    </xf>
    <xf numFmtId="0" fontId="0" fillId="0" borderId="3" xfId="0" applyBorder="1"/>
    <xf numFmtId="165" fontId="0" fillId="0" borderId="4" xfId="1" applyFont="1" applyBorder="1" applyAlignment="1">
      <alignment horizontal="center"/>
    </xf>
    <xf numFmtId="0" fontId="0" fillId="0" borderId="5" xfId="0" applyBorder="1"/>
    <xf numFmtId="165" fontId="0" fillId="0" borderId="6" xfId="1" applyFont="1" applyBorder="1" applyAlignment="1">
      <alignment horizontal="center"/>
    </xf>
    <xf numFmtId="0" fontId="0" fillId="0" borderId="5" xfId="0" applyBorder="1" applyAlignment="1">
      <alignment vertical="center"/>
    </xf>
    <xf numFmtId="165" fontId="0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vertical="center" wrapText="1"/>
    </xf>
    <xf numFmtId="0" fontId="0" fillId="0" borderId="8" xfId="0" applyBorder="1"/>
    <xf numFmtId="165" fontId="3" fillId="0" borderId="9" xfId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165" fontId="0" fillId="2" borderId="6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0" borderId="0" xfId="0" applyNumberFormat="1"/>
    <xf numFmtId="2" fontId="0" fillId="0" borderId="0" xfId="0" applyNumberFormat="1"/>
    <xf numFmtId="10" fontId="3" fillId="0" borderId="0" xfId="2" applyNumberFormat="1" applyFont="1" applyBorder="1" applyAlignment="1">
      <alignment vertical="center"/>
    </xf>
    <xf numFmtId="165" fontId="3" fillId="0" borderId="6" xfId="1" applyFont="1" applyBorder="1" applyAlignment="1">
      <alignment horizontal="center" vertical="center"/>
    </xf>
    <xf numFmtId="10" fontId="0" fillId="0" borderId="0" xfId="2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9" fontId="3" fillId="0" borderId="8" xfId="0" applyNumberFormat="1" applyFont="1" applyBorder="1" applyAlignment="1">
      <alignment vertical="center"/>
    </xf>
    <xf numFmtId="165" fontId="0" fillId="2" borderId="0" xfId="1" applyFont="1" applyFill="1" applyBorder="1"/>
    <xf numFmtId="165" fontId="0" fillId="0" borderId="6" xfId="1" applyFont="1" applyBorder="1" applyAlignment="1">
      <alignment horizontal="left" vertical="top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165" fontId="0" fillId="0" borderId="9" xfId="1" applyFont="1" applyBorder="1" applyAlignment="1">
      <alignment horizontal="center"/>
    </xf>
    <xf numFmtId="0" fontId="0" fillId="0" borderId="7" xfId="0" applyBorder="1" applyAlignment="1">
      <alignment horizontal="right" vertical="top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/>
    <xf numFmtId="0" fontId="6" fillId="3" borderId="11" xfId="0" applyFont="1" applyFill="1" applyBorder="1"/>
    <xf numFmtId="0" fontId="0" fillId="3" borderId="12" xfId="0" applyFill="1" applyBorder="1" applyAlignment="1">
      <alignment vertical="center" wrapText="1"/>
    </xf>
    <xf numFmtId="0" fontId="0" fillId="3" borderId="12" xfId="0" applyFill="1" applyBorder="1"/>
    <xf numFmtId="165" fontId="0" fillId="3" borderId="13" xfId="1" applyFont="1" applyFill="1" applyBorder="1" applyAlignment="1">
      <alignment horizontal="center"/>
    </xf>
    <xf numFmtId="0" fontId="6" fillId="3" borderId="11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165" fontId="0" fillId="3" borderId="13" xfId="1" applyFont="1" applyFill="1" applyBorder="1" applyAlignment="1">
      <alignment horizontal="center" vertical="center"/>
    </xf>
    <xf numFmtId="0" fontId="0" fillId="0" borderId="2" xfId="0" applyBorder="1"/>
    <xf numFmtId="165" fontId="3" fillId="0" borderId="4" xfId="1" applyFont="1" applyBorder="1" applyAlignment="1">
      <alignment horizontal="center" vertical="center"/>
    </xf>
    <xf numFmtId="165" fontId="0" fillId="2" borderId="3" xfId="1" applyFont="1" applyFill="1" applyBorder="1"/>
    <xf numFmtId="165" fontId="0" fillId="0" borderId="4" xfId="1" applyFont="1" applyBorder="1" applyAlignment="1">
      <alignment horizontal="left" vertical="top"/>
    </xf>
    <xf numFmtId="0" fontId="3" fillId="2" borderId="5" xfId="0" applyFont="1" applyFill="1" applyBorder="1"/>
    <xf numFmtId="0" fontId="3" fillId="2" borderId="0" xfId="0" applyFont="1" applyFill="1"/>
    <xf numFmtId="165" fontId="3" fillId="2" borderId="6" xfId="1" applyFont="1" applyFill="1" applyBorder="1" applyAlignment="1">
      <alignment horizontal="center"/>
    </xf>
    <xf numFmtId="0" fontId="0" fillId="2" borderId="5" xfId="0" applyFill="1" applyBorder="1"/>
    <xf numFmtId="10" fontId="0" fillId="0" borderId="0" xfId="0" applyNumberFormat="1"/>
    <xf numFmtId="165" fontId="0" fillId="0" borderId="8" xfId="1" applyFont="1" applyBorder="1"/>
    <xf numFmtId="10" fontId="0" fillId="0" borderId="8" xfId="0" applyNumberFormat="1" applyBorder="1"/>
    <xf numFmtId="165" fontId="0" fillId="0" borderId="9" xfId="1" applyFont="1" applyBorder="1"/>
    <xf numFmtId="0" fontId="0" fillId="0" borderId="7" xfId="0" applyBorder="1" applyAlignment="1">
      <alignment vertical="center"/>
    </xf>
    <xf numFmtId="165" fontId="0" fillId="0" borderId="9" xfId="1" applyFont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/>
    <xf numFmtId="165" fontId="0" fillId="2" borderId="9" xfId="1" applyFont="1" applyFill="1" applyBorder="1" applyAlignment="1">
      <alignment horizontal="center" vertical="center"/>
    </xf>
    <xf numFmtId="9" fontId="0" fillId="2" borderId="0" xfId="0" applyNumberFormat="1" applyFill="1"/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1" applyFont="1" applyBorder="1" applyAlignment="1">
      <alignment horizontal="right"/>
    </xf>
    <xf numFmtId="165" fontId="0" fillId="0" borderId="8" xfId="0" applyNumberFormat="1" applyBorder="1"/>
    <xf numFmtId="165" fontId="0" fillId="0" borderId="0" xfId="1" applyFont="1" applyBorder="1"/>
    <xf numFmtId="165" fontId="0" fillId="0" borderId="6" xfId="1" applyFont="1" applyFill="1" applyBorder="1" applyAlignment="1">
      <alignment horizontal="center" vertical="center"/>
    </xf>
    <xf numFmtId="165" fontId="0" fillId="0" borderId="7" xfId="1" applyFont="1" applyBorder="1"/>
    <xf numFmtId="9" fontId="0" fillId="0" borderId="8" xfId="0" applyNumberFormat="1" applyBorder="1"/>
    <xf numFmtId="165" fontId="0" fillId="0" borderId="3" xfId="1" applyFont="1" applyBorder="1"/>
    <xf numFmtId="9" fontId="0" fillId="2" borderId="0" xfId="2" applyFont="1" applyFill="1" applyBorder="1"/>
    <xf numFmtId="165" fontId="0" fillId="5" borderId="8" xfId="1" applyFont="1" applyFill="1" applyBorder="1"/>
    <xf numFmtId="0" fontId="0" fillId="0" borderId="11" xfId="0" applyBorder="1"/>
    <xf numFmtId="165" fontId="0" fillId="0" borderId="12" xfId="1" applyFont="1" applyFill="1" applyBorder="1" applyAlignment="1"/>
    <xf numFmtId="165" fontId="0" fillId="0" borderId="13" xfId="1" applyFont="1" applyFill="1" applyBorder="1" applyAlignment="1"/>
    <xf numFmtId="0" fontId="0" fillId="0" borderId="13" xfId="0" applyBorder="1"/>
    <xf numFmtId="10" fontId="0" fillId="0" borderId="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5" borderId="7" xfId="1" applyFont="1" applyFill="1" applyBorder="1"/>
    <xf numFmtId="165" fontId="0" fillId="2" borderId="7" xfId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vertical="center"/>
    </xf>
    <xf numFmtId="0" fontId="0" fillId="11" borderId="18" xfId="0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" fontId="0" fillId="0" borderId="10" xfId="0" applyNumberFormat="1" applyBorder="1"/>
    <xf numFmtId="3" fontId="0" fillId="9" borderId="1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2" fontId="2" fillId="6" borderId="10" xfId="0" applyNumberFormat="1" applyFont="1" applyFill="1" applyBorder="1"/>
    <xf numFmtId="0" fontId="0" fillId="0" borderId="10" xfId="0" applyBorder="1" applyAlignment="1">
      <alignment wrapText="1"/>
    </xf>
    <xf numFmtId="4" fontId="8" fillId="13" borderId="10" xfId="0" applyNumberFormat="1" applyFont="1" applyFill="1" applyBorder="1" applyAlignment="1">
      <alignment vertical="center"/>
    </xf>
    <xf numFmtId="10" fontId="0" fillId="9" borderId="10" xfId="0" applyNumberFormat="1" applyFill="1" applyBorder="1" applyAlignment="1">
      <alignment vertical="center"/>
    </xf>
    <xf numFmtId="10" fontId="0" fillId="0" borderId="10" xfId="0" applyNumberFormat="1" applyBorder="1" applyAlignment="1">
      <alignment vertical="center"/>
    </xf>
    <xf numFmtId="4" fontId="5" fillId="0" borderId="0" xfId="0" applyNumberFormat="1" applyFont="1" applyAlignment="1">
      <alignment vertical="center"/>
    </xf>
    <xf numFmtId="9" fontId="0" fillId="9" borderId="10" xfId="0" applyNumberFormat="1" applyFill="1" applyBorder="1" applyAlignment="1">
      <alignment vertical="center"/>
    </xf>
    <xf numFmtId="9" fontId="12" fillId="2" borderId="10" xfId="0" applyNumberFormat="1" applyFont="1" applyFill="1" applyBorder="1" applyAlignment="1">
      <alignment vertical="center"/>
    </xf>
    <xf numFmtId="167" fontId="0" fillId="9" borderId="10" xfId="0" applyNumberFormat="1" applyFill="1" applyBorder="1" applyAlignment="1">
      <alignment vertical="center"/>
    </xf>
    <xf numFmtId="167" fontId="11" fillId="0" borderId="10" xfId="0" applyNumberFormat="1" applyFont="1" applyBorder="1" applyAlignment="1">
      <alignment vertical="center"/>
    </xf>
    <xf numFmtId="4" fontId="0" fillId="9" borderId="10" xfId="0" applyNumberFormat="1" applyFill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4" fontId="0" fillId="9" borderId="10" xfId="0" applyNumberFormat="1" applyFill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4" fontId="3" fillId="9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0" fontId="13" fillId="0" borderId="0" xfId="0" applyFont="1"/>
    <xf numFmtId="0" fontId="3" fillId="0" borderId="19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4" fontId="11" fillId="9" borderId="14" xfId="0" applyNumberFormat="1" applyFont="1" applyFill="1" applyBorder="1" applyAlignment="1">
      <alignment vertical="center"/>
    </xf>
    <xf numFmtId="2" fontId="16" fillId="2" borderId="20" xfId="0" applyNumberFormat="1" applyFont="1" applyFill="1" applyBorder="1" applyAlignment="1">
      <alignment horizontal="right" vertical="center"/>
    </xf>
    <xf numFmtId="2" fontId="16" fillId="2" borderId="21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2" fontId="16" fillId="2" borderId="22" xfId="0" applyNumberFormat="1" applyFont="1" applyFill="1" applyBorder="1" applyAlignment="1">
      <alignment horizontal="right" vertical="center"/>
    </xf>
    <xf numFmtId="2" fontId="16" fillId="2" borderId="23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4" fontId="11" fillId="9" borderId="1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2" fillId="14" borderId="10" xfId="0" applyNumberFormat="1" applyFont="1" applyFill="1" applyBorder="1" applyAlignment="1">
      <alignment vertical="center"/>
    </xf>
    <xf numFmtId="4" fontId="3" fillId="15" borderId="10" xfId="0" applyNumberFormat="1" applyFont="1" applyFill="1" applyBorder="1" applyAlignment="1">
      <alignment vertical="center"/>
    </xf>
    <xf numFmtId="0" fontId="3" fillId="0" borderId="0" xfId="0" applyFont="1"/>
    <xf numFmtId="165" fontId="0" fillId="5" borderId="6" xfId="0" applyNumberFormat="1" applyFill="1" applyBorder="1"/>
    <xf numFmtId="4" fontId="0" fillId="5" borderId="10" xfId="0" applyNumberFormat="1" applyFill="1" applyBorder="1" applyAlignment="1">
      <alignment vertical="center"/>
    </xf>
    <xf numFmtId="4" fontId="0" fillId="16" borderId="10" xfId="0" applyNumberFormat="1" applyFill="1" applyBorder="1" applyAlignment="1">
      <alignment horizontal="right" vertical="center"/>
    </xf>
    <xf numFmtId="4" fontId="11" fillId="16" borderId="10" xfId="0" applyNumberFormat="1" applyFont="1" applyFill="1" applyBorder="1" applyAlignment="1">
      <alignment horizontal="right" vertical="center"/>
    </xf>
    <xf numFmtId="3" fontId="21" fillId="0" borderId="0" xfId="0" applyNumberFormat="1" applyFont="1"/>
    <xf numFmtId="1" fontId="23" fillId="0" borderId="10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21" fillId="0" borderId="0" xfId="0" applyNumberFormat="1" applyFont="1"/>
    <xf numFmtId="3" fontId="21" fillId="0" borderId="18" xfId="0" applyNumberFormat="1" applyFont="1" applyBorder="1"/>
    <xf numFmtId="4" fontId="21" fillId="0" borderId="18" xfId="0" applyNumberFormat="1" applyFont="1" applyBorder="1"/>
    <xf numFmtId="4" fontId="21" fillId="17" borderId="18" xfId="0" applyNumberFormat="1" applyFont="1" applyFill="1" applyBorder="1" applyAlignment="1">
      <alignment horizontal="center" vertical="center"/>
    </xf>
    <xf numFmtId="4" fontId="21" fillId="18" borderId="18" xfId="0" applyNumberFormat="1" applyFont="1" applyFill="1" applyBorder="1" applyAlignment="1">
      <alignment horizontal="center" vertical="center"/>
    </xf>
    <xf numFmtId="4" fontId="21" fillId="19" borderId="18" xfId="0" applyNumberFormat="1" applyFont="1" applyFill="1" applyBorder="1" applyAlignment="1">
      <alignment horizontal="center" vertical="center"/>
    </xf>
    <xf numFmtId="4" fontId="21" fillId="20" borderId="18" xfId="0" applyNumberFormat="1" applyFont="1" applyFill="1" applyBorder="1" applyAlignment="1">
      <alignment horizontal="center" vertical="center"/>
    </xf>
    <xf numFmtId="4" fontId="21" fillId="21" borderId="18" xfId="0" applyNumberFormat="1" applyFont="1" applyFill="1" applyBorder="1" applyAlignment="1">
      <alignment horizontal="center" vertical="center"/>
    </xf>
    <xf numFmtId="4" fontId="21" fillId="0" borderId="18" xfId="0" applyNumberFormat="1" applyFont="1" applyBorder="1" applyAlignment="1">
      <alignment horizontal="center" vertical="center"/>
    </xf>
    <xf numFmtId="0" fontId="5" fillId="0" borderId="0" xfId="0" applyFont="1"/>
    <xf numFmtId="3" fontId="23" fillId="22" borderId="25" xfId="0" applyNumberFormat="1" applyFont="1" applyFill="1" applyBorder="1"/>
    <xf numFmtId="4" fontId="23" fillId="22" borderId="26" xfId="0" applyNumberFormat="1" applyFont="1" applyFill="1" applyBorder="1"/>
    <xf numFmtId="4" fontId="23" fillId="22" borderId="26" xfId="0" applyNumberFormat="1" applyFont="1" applyFill="1" applyBorder="1" applyAlignment="1">
      <alignment horizontal="center" vertical="center"/>
    </xf>
    <xf numFmtId="4" fontId="23" fillId="22" borderId="27" xfId="0" applyNumberFormat="1" applyFont="1" applyFill="1" applyBorder="1" applyAlignment="1">
      <alignment horizontal="center"/>
    </xf>
    <xf numFmtId="4" fontId="6" fillId="0" borderId="10" xfId="0" applyNumberFormat="1" applyFont="1" applyBorder="1"/>
    <xf numFmtId="3" fontId="23" fillId="22" borderId="28" xfId="0" applyNumberFormat="1" applyFont="1" applyFill="1" applyBorder="1"/>
    <xf numFmtId="4" fontId="23" fillId="22" borderId="29" xfId="0" applyNumberFormat="1" applyFont="1" applyFill="1" applyBorder="1"/>
    <xf numFmtId="4" fontId="23" fillId="22" borderId="29" xfId="0" applyNumberFormat="1" applyFont="1" applyFill="1" applyBorder="1" applyAlignment="1">
      <alignment horizontal="center" vertical="center"/>
    </xf>
    <xf numFmtId="4" fontId="23" fillId="22" borderId="30" xfId="0" applyNumberFormat="1" applyFont="1" applyFill="1" applyBorder="1" applyAlignment="1">
      <alignment horizontal="center" vertical="center"/>
    </xf>
    <xf numFmtId="3" fontId="21" fillId="0" borderId="31" xfId="0" applyNumberFormat="1" applyFont="1" applyBorder="1"/>
    <xf numFmtId="4" fontId="21" fillId="0" borderId="10" xfId="0" applyNumberFormat="1" applyFont="1" applyBorder="1"/>
    <xf numFmtId="4" fontId="21" fillId="0" borderId="10" xfId="0" applyNumberFormat="1" applyFont="1" applyBorder="1" applyAlignment="1">
      <alignment horizontal="center" vertical="center"/>
    </xf>
    <xf numFmtId="4" fontId="21" fillId="0" borderId="32" xfId="0" applyNumberFormat="1" applyFont="1" applyBorder="1"/>
    <xf numFmtId="3" fontId="21" fillId="0" borderId="33" xfId="0" applyNumberFormat="1" applyFont="1" applyBorder="1"/>
    <xf numFmtId="4" fontId="21" fillId="0" borderId="34" xfId="0" applyNumberFormat="1" applyFont="1" applyBorder="1"/>
    <xf numFmtId="4" fontId="21" fillId="0" borderId="35" xfId="0" applyNumberFormat="1" applyFont="1" applyBorder="1"/>
    <xf numFmtId="3" fontId="23" fillId="22" borderId="36" xfId="0" applyNumberFormat="1" applyFont="1" applyFill="1" applyBorder="1"/>
    <xf numFmtId="4" fontId="23" fillId="22" borderId="17" xfId="0" applyNumberFormat="1" applyFont="1" applyFill="1" applyBorder="1"/>
    <xf numFmtId="4" fontId="23" fillId="22" borderId="17" xfId="0" applyNumberFormat="1" applyFont="1" applyFill="1" applyBorder="1" applyAlignment="1">
      <alignment horizontal="center" vertical="center"/>
    </xf>
    <xf numFmtId="4" fontId="23" fillId="22" borderId="37" xfId="0" applyNumberFormat="1" applyFont="1" applyFill="1" applyBorder="1" applyAlignment="1">
      <alignment horizontal="center" vertical="center"/>
    </xf>
    <xf numFmtId="3" fontId="21" fillId="0" borderId="38" xfId="0" applyNumberFormat="1" applyFont="1" applyBorder="1"/>
    <xf numFmtId="4" fontId="21" fillId="0" borderId="39" xfId="0" applyNumberFormat="1" applyFont="1" applyBorder="1"/>
    <xf numFmtId="4" fontId="23" fillId="22" borderId="40" xfId="0" applyNumberFormat="1" applyFont="1" applyFill="1" applyBorder="1"/>
    <xf numFmtId="4" fontId="21" fillId="0" borderId="17" xfId="0" applyNumberFormat="1" applyFont="1" applyBorder="1" applyAlignment="1">
      <alignment horizontal="center" vertical="center"/>
    </xf>
    <xf numFmtId="4" fontId="21" fillId="0" borderId="37" xfId="0" applyNumberFormat="1" applyFont="1" applyBorder="1"/>
    <xf numFmtId="10" fontId="0" fillId="0" borderId="0" xfId="2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4" fontId="0" fillId="0" borderId="0" xfId="0" applyNumberFormat="1"/>
    <xf numFmtId="168" fontId="0" fillId="0" borderId="0" xfId="0" applyNumberFormat="1"/>
    <xf numFmtId="0" fontId="0" fillId="0" borderId="10" xfId="0" applyBorder="1" applyAlignment="1">
      <alignment horizontal="right"/>
    </xf>
    <xf numFmtId="168" fontId="0" fillId="0" borderId="10" xfId="0" applyNumberFormat="1" applyBorder="1"/>
    <xf numFmtId="168" fontId="3" fillId="0" borderId="10" xfId="0" applyNumberFormat="1" applyFont="1" applyBorder="1"/>
    <xf numFmtId="168" fontId="3" fillId="0" borderId="0" xfId="0" applyNumberFormat="1" applyFont="1"/>
    <xf numFmtId="0" fontId="0" fillId="0" borderId="2" xfId="0" applyBorder="1" applyAlignment="1">
      <alignment vertical="center"/>
    </xf>
    <xf numFmtId="165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4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top"/>
    </xf>
    <xf numFmtId="1" fontId="0" fillId="0" borderId="0" xfId="1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3" fontId="0" fillId="0" borderId="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8" xfId="0" applyNumberFormat="1" applyBorder="1"/>
    <xf numFmtId="165" fontId="0" fillId="16" borderId="6" xfId="1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8" fillId="8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12" borderId="14" xfId="0" applyFont="1" applyFill="1" applyBorder="1" applyAlignment="1">
      <alignment horizontal="left" vertical="center"/>
    </xf>
    <xf numFmtId="0" fontId="3" fillId="12" borderId="15" xfId="0" applyFont="1" applyFill="1" applyBorder="1" applyAlignment="1">
      <alignment horizontal="left" vertical="center"/>
    </xf>
    <xf numFmtId="0" fontId="3" fillId="12" borderId="15" xfId="0" applyFont="1" applyFill="1" applyBorder="1" applyAlignment="1">
      <alignment horizontal="left"/>
    </xf>
    <xf numFmtId="0" fontId="0" fillId="15" borderId="14" xfId="0" applyFill="1" applyBorder="1" applyAlignment="1">
      <alignment horizontal="right" vertical="center"/>
    </xf>
    <xf numFmtId="0" fontId="0" fillId="15" borderId="16" xfId="0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0" xfId="1" applyFont="1" applyAlignment="1">
      <alignment horizontal="left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68" fontId="3" fillId="0" borderId="14" xfId="0" applyNumberFormat="1" applyFont="1" applyBorder="1" applyAlignment="1">
      <alignment horizontal="right" vertical="center" wrapText="1"/>
    </xf>
    <xf numFmtId="168" fontId="3" fillId="0" borderId="15" xfId="0" applyNumberFormat="1" applyFont="1" applyBorder="1" applyAlignment="1">
      <alignment horizontal="right" vertical="center" wrapText="1"/>
    </xf>
    <xf numFmtId="168" fontId="3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left" vertical="center"/>
    </xf>
    <xf numFmtId="4" fontId="22" fillId="0" borderId="15" xfId="0" applyNumberFormat="1" applyFont="1" applyBorder="1" applyAlignment="1">
      <alignment horizontal="left" vertical="center"/>
    </xf>
    <xf numFmtId="4" fontId="22" fillId="0" borderId="16" xfId="0" applyNumberFormat="1" applyFont="1" applyBorder="1" applyAlignment="1">
      <alignment horizontal="left" vertical="center"/>
    </xf>
    <xf numFmtId="4" fontId="23" fillId="22" borderId="41" xfId="0" applyNumberFormat="1" applyFont="1" applyFill="1" applyBorder="1" applyAlignment="1">
      <alignment horizontal="center"/>
    </xf>
    <xf numFmtId="4" fontId="23" fillId="22" borderId="42" xfId="0" applyNumberFormat="1" applyFont="1" applyFill="1" applyBorder="1" applyAlignment="1">
      <alignment horizontal="center"/>
    </xf>
  </cellXfs>
  <cellStyles count="4">
    <cellStyle name="Dziesiętny" xfId="1" builtinId="3"/>
    <cellStyle name="Normalny" xfId="0" builtinId="0"/>
    <cellStyle name="Normalny 2" xfId="3" xr:uid="{00000000-0005-0000-0000-000002000000}"/>
    <cellStyle name="Procentowy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opLeftCell="A15" zoomScale="140" zoomScaleNormal="140" workbookViewId="0">
      <selection activeCell="H17" sqref="H17"/>
    </sheetView>
  </sheetViews>
  <sheetFormatPr defaultRowHeight="14.4"/>
  <cols>
    <col min="1" max="1" width="4.109375" customWidth="1"/>
    <col min="2" max="2" width="46.88671875" customWidth="1"/>
    <col min="3" max="3" width="10.6640625" customWidth="1"/>
    <col min="4" max="4" width="14.33203125" customWidth="1"/>
    <col min="5" max="6" width="13.5546875" customWidth="1"/>
    <col min="7" max="7" width="6.88671875" customWidth="1"/>
    <col min="8" max="8" width="29.88671875" customWidth="1"/>
    <col min="9" max="9" width="5.44140625" customWidth="1"/>
    <col min="10" max="10" width="18.44140625" customWidth="1"/>
    <col min="13" max="13" width="9" customWidth="1"/>
    <col min="14" max="14" width="9.109375" customWidth="1"/>
  </cols>
  <sheetData>
    <row r="1" spans="1:13" ht="24.6" customHeight="1">
      <c r="A1" s="215" t="s">
        <v>82</v>
      </c>
      <c r="B1" s="216"/>
      <c r="C1" s="216"/>
      <c r="D1" s="216"/>
      <c r="E1" s="216"/>
      <c r="F1" s="217"/>
    </row>
    <row r="2" spans="1:13" ht="15" customHeight="1">
      <c r="A2" s="96"/>
      <c r="B2" s="96"/>
      <c r="C2" s="96"/>
      <c r="D2" s="96"/>
      <c r="E2" s="96"/>
      <c r="F2" s="96"/>
    </row>
    <row r="3" spans="1:13">
      <c r="A3" s="218" t="s">
        <v>83</v>
      </c>
      <c r="B3" s="218"/>
      <c r="C3" s="218"/>
      <c r="D3" s="218"/>
      <c r="E3" s="218"/>
      <c r="F3" s="218"/>
      <c r="G3" s="2"/>
      <c r="H3" s="2"/>
      <c r="I3" s="2"/>
      <c r="J3" s="2"/>
    </row>
    <row r="4" spans="1:13" ht="29.1" customHeight="1">
      <c r="A4" s="218" t="s">
        <v>84</v>
      </c>
      <c r="B4" s="218"/>
      <c r="C4" s="218"/>
      <c r="D4" s="218"/>
      <c r="E4" s="218"/>
      <c r="F4" s="218"/>
      <c r="G4" s="2"/>
      <c r="H4" s="2"/>
      <c r="I4" s="2"/>
      <c r="J4" s="2"/>
    </row>
    <row r="5" spans="1:13" ht="42.6" customHeight="1">
      <c r="A5" s="219" t="s">
        <v>85</v>
      </c>
      <c r="B5" s="219"/>
      <c r="C5" s="219"/>
      <c r="D5" s="219"/>
      <c r="E5" s="219"/>
      <c r="F5" s="219"/>
      <c r="G5" s="97"/>
      <c r="H5" s="97"/>
      <c r="I5" s="97"/>
      <c r="J5" s="97"/>
    </row>
    <row r="7" spans="1:13" ht="14.4" customHeight="1">
      <c r="A7" s="220" t="s">
        <v>86</v>
      </c>
      <c r="B7" s="220"/>
      <c r="C7" s="220"/>
      <c r="D7" s="221">
        <v>2025</v>
      </c>
      <c r="E7" s="221"/>
      <c r="F7" s="221"/>
    </row>
    <row r="8" spans="1:13" ht="14.4" customHeight="1">
      <c r="A8" s="220"/>
      <c r="B8" s="220"/>
      <c r="C8" s="220"/>
      <c r="D8" s="221"/>
      <c r="E8" s="221"/>
      <c r="F8" s="221"/>
    </row>
    <row r="9" spans="1:13" ht="28.5" customHeight="1">
      <c r="A9" s="98" t="s">
        <v>87</v>
      </c>
      <c r="B9" s="99" t="s">
        <v>88</v>
      </c>
      <c r="C9" s="100" t="s">
        <v>89</v>
      </c>
      <c r="D9" s="101" t="s">
        <v>90</v>
      </c>
      <c r="E9" s="102" t="s">
        <v>91</v>
      </c>
      <c r="F9" s="102" t="s">
        <v>92</v>
      </c>
      <c r="H9" s="103" t="s">
        <v>93</v>
      </c>
      <c r="I9" s="104" t="s">
        <v>94</v>
      </c>
      <c r="J9" s="105" t="s">
        <v>95</v>
      </c>
    </row>
    <row r="10" spans="1:13" ht="14.4" customHeight="1">
      <c r="A10" s="224" t="s">
        <v>96</v>
      </c>
      <c r="B10" s="225"/>
      <c r="C10" s="225"/>
      <c r="D10" s="106"/>
      <c r="E10" s="106"/>
      <c r="F10" s="107"/>
      <c r="H10" s="20" t="s">
        <v>97</v>
      </c>
      <c r="I10" s="22" t="s">
        <v>98</v>
      </c>
      <c r="J10" s="108">
        <v>2165</v>
      </c>
    </row>
    <row r="11" spans="1:13" ht="14.4" customHeight="1">
      <c r="A11" s="22">
        <v>1</v>
      </c>
      <c r="B11" s="20" t="s">
        <v>99</v>
      </c>
      <c r="C11" s="22" t="s">
        <v>98</v>
      </c>
      <c r="D11" s="109">
        <v>14728</v>
      </c>
      <c r="E11" s="110">
        <v>14800</v>
      </c>
      <c r="F11" s="110">
        <f>E11</f>
        <v>14800</v>
      </c>
      <c r="H11" s="20" t="s">
        <v>100</v>
      </c>
      <c r="I11" s="22" t="s">
        <v>101</v>
      </c>
      <c r="J11" s="111">
        <v>2</v>
      </c>
    </row>
    <row r="12" spans="1:13" ht="15.6">
      <c r="A12" s="22">
        <v>2</v>
      </c>
      <c r="B12" s="20" t="s">
        <v>102</v>
      </c>
      <c r="C12" s="22" t="s">
        <v>98</v>
      </c>
      <c r="D12" s="109">
        <v>13185</v>
      </c>
      <c r="E12" s="110">
        <f t="shared" ref="E12:F12" si="0">E11*E14</f>
        <v>13249.456816947311</v>
      </c>
      <c r="F12" s="110">
        <f t="shared" si="0"/>
        <v>13249.456816947311</v>
      </c>
      <c r="H12" s="112" t="s">
        <v>103</v>
      </c>
      <c r="I12" s="22" t="s">
        <v>101</v>
      </c>
      <c r="J12" s="113">
        <f>J10*J11*12</f>
        <v>51960</v>
      </c>
      <c r="L12" s="28"/>
    </row>
    <row r="13" spans="1:13">
      <c r="A13" s="22">
        <v>3</v>
      </c>
      <c r="B13" s="20" t="s">
        <v>104</v>
      </c>
      <c r="C13" s="22" t="s">
        <v>98</v>
      </c>
      <c r="D13" s="109">
        <f>D11-D12</f>
        <v>1543</v>
      </c>
      <c r="E13" s="110">
        <f t="shared" ref="E13:F13" si="1">E11-E12</f>
        <v>1550.5431830526886</v>
      </c>
      <c r="F13" s="110">
        <f t="shared" si="1"/>
        <v>1550.5431830526886</v>
      </c>
    </row>
    <row r="14" spans="1:13" ht="14.4" customHeight="1">
      <c r="A14" s="22">
        <v>4</v>
      </c>
      <c r="B14" s="20" t="s">
        <v>105</v>
      </c>
      <c r="C14" s="22" t="s">
        <v>106</v>
      </c>
      <c r="D14" s="114">
        <f>D12/D11</f>
        <v>0.89523356871265614</v>
      </c>
      <c r="E14" s="115">
        <f>D14</f>
        <v>0.89523356871265614</v>
      </c>
      <c r="F14" s="115">
        <f>E14</f>
        <v>0.89523356871265614</v>
      </c>
      <c r="L14" s="116"/>
      <c r="M14" s="116"/>
    </row>
    <row r="15" spans="1:13" ht="14.4" customHeight="1">
      <c r="A15" s="22">
        <v>5</v>
      </c>
      <c r="B15" s="20" t="s">
        <v>107</v>
      </c>
      <c r="C15" s="22" t="s">
        <v>106</v>
      </c>
      <c r="D15" s="117">
        <v>0.98</v>
      </c>
      <c r="E15" s="118">
        <v>0.92</v>
      </c>
      <c r="F15" s="118">
        <v>0.96</v>
      </c>
      <c r="H15" s="1"/>
      <c r="I15" s="4"/>
      <c r="L15" s="116"/>
      <c r="M15" s="116"/>
    </row>
    <row r="16" spans="1:13">
      <c r="A16" s="22">
        <v>6</v>
      </c>
      <c r="B16" s="20" t="s">
        <v>108</v>
      </c>
      <c r="C16" s="22" t="s">
        <v>109</v>
      </c>
      <c r="D16" s="119">
        <v>5415.9430000000002</v>
      </c>
      <c r="E16" s="120">
        <f>D16</f>
        <v>5415.9430000000002</v>
      </c>
      <c r="F16" s="120">
        <f>E16</f>
        <v>5415.9430000000002</v>
      </c>
    </row>
    <row r="17" spans="1:14" ht="29.1" customHeight="1">
      <c r="A17" s="22">
        <v>7</v>
      </c>
      <c r="B17" s="19" t="s">
        <v>110</v>
      </c>
      <c r="C17" s="22" t="s">
        <v>111</v>
      </c>
      <c r="D17" s="121">
        <v>425.32299999999998</v>
      </c>
      <c r="E17" s="122">
        <f>D17</f>
        <v>425.32299999999998</v>
      </c>
      <c r="F17" s="122">
        <f>E17</f>
        <v>425.32299999999998</v>
      </c>
    </row>
    <row r="18" spans="1:14" ht="29.1" customHeight="1">
      <c r="A18" s="22">
        <v>8</v>
      </c>
      <c r="B18" s="123" t="s">
        <v>112</v>
      </c>
      <c r="C18" s="22" t="s">
        <v>111</v>
      </c>
      <c r="D18" s="152">
        <f>F18</f>
        <v>444.96</v>
      </c>
      <c r="E18" s="153">
        <f>F18</f>
        <v>444.96</v>
      </c>
      <c r="F18" s="153">
        <f>'ZUK - Dane zbiorcze'!O42</f>
        <v>444.96</v>
      </c>
    </row>
    <row r="19" spans="1:14" ht="14.4" customHeight="1">
      <c r="A19" s="224" t="s">
        <v>113</v>
      </c>
      <c r="B19" s="225"/>
      <c r="C19" s="225"/>
      <c r="D19" s="106"/>
      <c r="E19" s="106"/>
      <c r="F19" s="107"/>
    </row>
    <row r="20" spans="1:14">
      <c r="A20" s="22">
        <v>9</v>
      </c>
      <c r="B20" s="20" t="s">
        <v>114</v>
      </c>
      <c r="C20" s="102" t="s">
        <v>115</v>
      </c>
      <c r="D20" s="124">
        <f>E20</f>
        <v>2303525.1245889999</v>
      </c>
      <c r="E20" s="125">
        <f t="shared" ref="E20:F20" si="2">E16*E17</f>
        <v>2303525.1245889999</v>
      </c>
      <c r="F20" s="125">
        <f t="shared" si="2"/>
        <v>2303525.1245889999</v>
      </c>
    </row>
    <row r="21" spans="1:14">
      <c r="A21" s="22">
        <v>10</v>
      </c>
      <c r="B21" s="20" t="s">
        <v>116</v>
      </c>
      <c r="C21" s="102" t="s">
        <v>115</v>
      </c>
      <c r="D21" s="151">
        <f t="shared" ref="D21:F21" si="3">D16*D18</f>
        <v>2409877.9972799998</v>
      </c>
      <c r="E21" s="151">
        <f t="shared" si="3"/>
        <v>2409877.9972799998</v>
      </c>
      <c r="F21" s="151">
        <f t="shared" si="3"/>
        <v>2409877.9972799998</v>
      </c>
    </row>
    <row r="22" spans="1:14">
      <c r="A22" s="22">
        <v>11</v>
      </c>
      <c r="B22" s="20" t="s">
        <v>117</v>
      </c>
      <c r="C22" s="102" t="s">
        <v>115</v>
      </c>
      <c r="D22" s="124">
        <v>502519</v>
      </c>
      <c r="E22" s="126">
        <f>D22</f>
        <v>502519</v>
      </c>
      <c r="F22" s="126">
        <f>E22</f>
        <v>502519</v>
      </c>
    </row>
    <row r="23" spans="1:14">
      <c r="A23" s="22">
        <v>12</v>
      </c>
      <c r="B23" s="20" t="s">
        <v>118</v>
      </c>
      <c r="C23" s="102" t="s">
        <v>115</v>
      </c>
      <c r="D23" s="124">
        <v>86713</v>
      </c>
      <c r="E23" s="126">
        <f>D23</f>
        <v>86713</v>
      </c>
      <c r="F23" s="126">
        <f>E23</f>
        <v>86713</v>
      </c>
    </row>
    <row r="24" spans="1:14" ht="20.399999999999999" customHeight="1">
      <c r="A24" s="22">
        <v>13</v>
      </c>
      <c r="B24" s="21" t="s">
        <v>119</v>
      </c>
      <c r="C24" s="102" t="s">
        <v>115</v>
      </c>
      <c r="D24" s="127">
        <f>SUM(D20:D23)</f>
        <v>5302635.1218689997</v>
      </c>
      <c r="E24" s="128">
        <f>SUM(E20:E23)</f>
        <v>5302635.1218689997</v>
      </c>
      <c r="F24" s="128">
        <f>SUM(F20:F23)</f>
        <v>5302635.1218689997</v>
      </c>
      <c r="H24" s="129"/>
    </row>
    <row r="25" spans="1:14" ht="15" thickBot="1">
      <c r="A25" s="226" t="s">
        <v>120</v>
      </c>
      <c r="B25" s="226"/>
      <c r="C25" s="226"/>
      <c r="D25" s="130"/>
      <c r="E25" s="130"/>
      <c r="F25" s="130"/>
      <c r="L25" s="131"/>
      <c r="M25" s="132"/>
      <c r="N25" s="133"/>
    </row>
    <row r="26" spans="1:14" ht="20.100000000000001" customHeight="1">
      <c r="A26" s="22">
        <v>14</v>
      </c>
      <c r="B26" s="21" t="s">
        <v>121</v>
      </c>
      <c r="C26" s="22" t="s">
        <v>122</v>
      </c>
      <c r="D26" s="134">
        <v>28</v>
      </c>
      <c r="E26" s="135">
        <v>32</v>
      </c>
      <c r="F26" s="136">
        <v>31</v>
      </c>
      <c r="J26" s="61"/>
      <c r="L26" s="131"/>
      <c r="M26" s="132"/>
      <c r="N26" s="137"/>
    </row>
    <row r="27" spans="1:14" ht="20.100000000000001" customHeight="1" thickBot="1">
      <c r="A27" s="22">
        <v>15</v>
      </c>
      <c r="B27" s="21" t="s">
        <v>123</v>
      </c>
      <c r="C27" s="22" t="s">
        <v>122</v>
      </c>
      <c r="D27" s="134">
        <v>26</v>
      </c>
      <c r="E27" s="138">
        <v>30</v>
      </c>
      <c r="F27" s="139">
        <v>31</v>
      </c>
      <c r="L27" s="131"/>
      <c r="M27" s="132"/>
      <c r="N27" s="137"/>
    </row>
    <row r="28" spans="1:14">
      <c r="A28" s="225" t="s">
        <v>124</v>
      </c>
      <c r="B28" s="225"/>
      <c r="C28" s="225"/>
      <c r="D28" s="140"/>
      <c r="E28" s="140"/>
      <c r="F28" s="140"/>
      <c r="L28" s="131"/>
      <c r="M28" s="132"/>
      <c r="N28" s="141"/>
    </row>
    <row r="29" spans="1:14">
      <c r="A29" s="22">
        <v>16</v>
      </c>
      <c r="B29" s="20" t="s">
        <v>125</v>
      </c>
      <c r="C29" s="102" t="s">
        <v>101</v>
      </c>
      <c r="D29" s="142">
        <f>(D12*D26)*12*D15</f>
        <v>4341556.8</v>
      </c>
      <c r="E29" s="126">
        <f>E12*E15*E26*12</f>
        <v>4680768.1042911466</v>
      </c>
      <c r="F29" s="126">
        <f>F12*F15*F26*12</f>
        <v>4731646.0184682244</v>
      </c>
      <c r="L29" s="143"/>
      <c r="M29" s="132"/>
      <c r="N29" s="144"/>
    </row>
    <row r="30" spans="1:14">
      <c r="A30" s="22">
        <v>17</v>
      </c>
      <c r="B30" s="20" t="s">
        <v>126</v>
      </c>
      <c r="C30" s="102" t="s">
        <v>101</v>
      </c>
      <c r="D30" s="142">
        <f>D13*D27*12*D15</f>
        <v>471787.68</v>
      </c>
      <c r="E30" s="126">
        <f>E13*E27*E15*12</f>
        <v>513539.90222705057</v>
      </c>
      <c r="F30" s="126">
        <f>F13*F27*F15*12</f>
        <v>553729.98153177614</v>
      </c>
      <c r="L30" s="131"/>
      <c r="M30" s="145"/>
      <c r="N30" s="146"/>
    </row>
    <row r="31" spans="1:14" ht="20.100000000000001" customHeight="1">
      <c r="A31" s="22">
        <v>18</v>
      </c>
      <c r="B31" s="21" t="s">
        <v>127</v>
      </c>
      <c r="C31" s="102" t="s">
        <v>101</v>
      </c>
      <c r="D31" s="147">
        <f>-J12</f>
        <v>-51960</v>
      </c>
      <c r="E31" s="147">
        <f>D31</f>
        <v>-51960</v>
      </c>
      <c r="F31" s="147">
        <f>E31</f>
        <v>-51960</v>
      </c>
      <c r="L31" s="131"/>
      <c r="M31" s="132"/>
      <c r="N31" s="144"/>
    </row>
    <row r="32" spans="1:14" ht="20.100000000000001" customHeight="1">
      <c r="A32" s="22">
        <v>19</v>
      </c>
      <c r="B32" s="227" t="s">
        <v>128</v>
      </c>
      <c r="C32" s="228"/>
      <c r="D32" s="148">
        <f>SUM(D29:D31)</f>
        <v>4761384.4799999995</v>
      </c>
      <c r="E32" s="148">
        <f t="shared" ref="E32:F32" si="4">SUM(E29:E31)</f>
        <v>5142348.0065181972</v>
      </c>
      <c r="F32" s="148">
        <f t="shared" si="4"/>
        <v>5233416.0000000009</v>
      </c>
    </row>
    <row r="33" spans="1:7" ht="20.100000000000001" customHeight="1">
      <c r="A33" s="22">
        <v>20</v>
      </c>
      <c r="B33" s="229" t="s">
        <v>129</v>
      </c>
      <c r="C33" s="230"/>
      <c r="D33" s="124">
        <f>D24</f>
        <v>5302635.1218689997</v>
      </c>
      <c r="E33" s="125">
        <f>E24</f>
        <v>5302635.1218689997</v>
      </c>
      <c r="F33" s="125">
        <f>F24</f>
        <v>5302635.1218689997</v>
      </c>
    </row>
    <row r="34" spans="1:7" ht="20.100000000000001" customHeight="1">
      <c r="A34" s="22">
        <v>21</v>
      </c>
      <c r="B34" s="222" t="s">
        <v>130</v>
      </c>
      <c r="C34" s="223"/>
      <c r="D34" s="128">
        <f>D32-D33</f>
        <v>-541250.64186900016</v>
      </c>
      <c r="E34" s="128">
        <f>E32-E33</f>
        <v>-160287.11535080243</v>
      </c>
      <c r="F34" s="128">
        <f>F32-F33</f>
        <v>-69219.121868998744</v>
      </c>
    </row>
    <row r="35" spans="1:7">
      <c r="E35" s="61"/>
      <c r="F35" s="61"/>
    </row>
    <row r="36" spans="1:7">
      <c r="A36" s="149" t="s">
        <v>131</v>
      </c>
    </row>
    <row r="37" spans="1:7">
      <c r="A37" t="s">
        <v>132</v>
      </c>
    </row>
    <row r="38" spans="1:7">
      <c r="A38" t="s">
        <v>133</v>
      </c>
    </row>
    <row r="39" spans="1:7">
      <c r="A39" t="s">
        <v>134</v>
      </c>
    </row>
    <row r="40" spans="1:7">
      <c r="A40" t="s">
        <v>135</v>
      </c>
    </row>
    <row r="41" spans="1:7" ht="14.4" customHeight="1">
      <c r="A41" s="218" t="s">
        <v>136</v>
      </c>
      <c r="B41" s="218"/>
      <c r="C41" s="218"/>
      <c r="D41" s="218"/>
      <c r="E41" s="218"/>
      <c r="F41" s="218"/>
      <c r="G41" s="218"/>
    </row>
    <row r="42" spans="1:7">
      <c r="A42" s="218"/>
      <c r="B42" s="218"/>
      <c r="C42" s="218"/>
      <c r="D42" s="218"/>
      <c r="E42" s="218"/>
      <c r="F42" s="218"/>
      <c r="G42" s="218"/>
    </row>
    <row r="43" spans="1:7">
      <c r="A43" s="218" t="s">
        <v>137</v>
      </c>
      <c r="B43" s="218"/>
      <c r="C43" s="218"/>
      <c r="D43" s="218"/>
      <c r="E43" s="218"/>
      <c r="F43" s="218"/>
      <c r="G43" s="218"/>
    </row>
    <row r="44" spans="1:7">
      <c r="A44" t="s">
        <v>138</v>
      </c>
    </row>
  </sheetData>
  <protectedRanges>
    <protectedRange sqref="N25 N28:N29 N31" name="Rozstęp1"/>
  </protectedRanges>
  <mergeCells count="15">
    <mergeCell ref="B34:C34"/>
    <mergeCell ref="A41:G42"/>
    <mergeCell ref="A43:G43"/>
    <mergeCell ref="A10:C10"/>
    <mergeCell ref="A19:C19"/>
    <mergeCell ref="A25:C25"/>
    <mergeCell ref="A28:C28"/>
    <mergeCell ref="B32:C32"/>
    <mergeCell ref="B33:C33"/>
    <mergeCell ref="A1:F1"/>
    <mergeCell ref="A3:F3"/>
    <mergeCell ref="A4:F4"/>
    <mergeCell ref="A5:F5"/>
    <mergeCell ref="A7:C8"/>
    <mergeCell ref="D7:F8"/>
  </mergeCells>
  <conditionalFormatting sqref="D34:F34">
    <cfRule type="cellIs" dxfId="1" priority="1" operator="lessThan">
      <formula>0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O90"/>
  <sheetViews>
    <sheetView topLeftCell="D4" workbookViewId="0">
      <selection activeCell="O9" sqref="O9"/>
    </sheetView>
  </sheetViews>
  <sheetFormatPr defaultRowHeight="14.4"/>
  <cols>
    <col min="4" max="4" width="24.88671875" customWidth="1"/>
    <col min="5" max="5" width="14" customWidth="1"/>
    <col min="6" max="6" width="20" customWidth="1"/>
    <col min="7" max="7" width="21.5546875" bestFit="1" customWidth="1"/>
    <col min="8" max="8" width="14.88671875" bestFit="1" customWidth="1"/>
    <col min="9" max="9" width="12.88671875" bestFit="1" customWidth="1"/>
    <col min="10" max="10" width="13.88671875" customWidth="1"/>
    <col min="11" max="11" width="24" customWidth="1"/>
    <col min="12" max="12" width="25.109375" customWidth="1"/>
    <col min="15" max="15" width="14.88671875" bestFit="1" customWidth="1"/>
  </cols>
  <sheetData>
    <row r="3" spans="3:15" ht="15" thickBot="1">
      <c r="C3" t="s">
        <v>42</v>
      </c>
      <c r="D3" s="2"/>
      <c r="H3" s="3"/>
      <c r="J3" t="s">
        <v>44</v>
      </c>
    </row>
    <row r="4" spans="3:15" ht="18.600000000000001" thickBot="1">
      <c r="C4" s="46" t="s">
        <v>40</v>
      </c>
      <c r="D4" s="47"/>
      <c r="E4" s="48"/>
      <c r="F4" s="48"/>
      <c r="G4" s="48"/>
      <c r="H4" s="49"/>
      <c r="J4" s="46" t="s">
        <v>40</v>
      </c>
      <c r="K4" s="47"/>
      <c r="L4" s="48"/>
      <c r="M4" s="48"/>
      <c r="N4" s="48"/>
      <c r="O4" s="49"/>
    </row>
    <row r="5" spans="3:15">
      <c r="C5" s="53"/>
      <c r="D5" s="7"/>
      <c r="E5" s="8"/>
      <c r="F5" s="8"/>
      <c r="G5" s="8"/>
      <c r="H5" s="9" t="s">
        <v>22</v>
      </c>
      <c r="J5" s="53"/>
      <c r="K5" s="7"/>
      <c r="L5" s="8"/>
      <c r="M5" s="8"/>
      <c r="N5" s="8"/>
      <c r="O5" s="9" t="s">
        <v>22</v>
      </c>
    </row>
    <row r="6" spans="3:15" ht="55.5" customHeight="1">
      <c r="C6" s="12" t="s">
        <v>7</v>
      </c>
      <c r="D6" s="2" t="s">
        <v>16</v>
      </c>
      <c r="H6" s="13">
        <v>362340.11</v>
      </c>
      <c r="J6" s="12" t="s">
        <v>7</v>
      </c>
      <c r="K6" s="2" t="s">
        <v>16</v>
      </c>
      <c r="L6" s="24"/>
      <c r="M6" s="24"/>
      <c r="N6" s="24"/>
      <c r="O6" s="25">
        <f>O9</f>
        <v>355900.00950000004</v>
      </c>
    </row>
    <row r="7" spans="3:15">
      <c r="C7" s="10"/>
      <c r="H7" s="38"/>
      <c r="J7" s="10"/>
      <c r="O7" s="38"/>
    </row>
    <row r="8" spans="3:15">
      <c r="C8" s="10"/>
      <c r="E8" t="s">
        <v>53</v>
      </c>
      <c r="H8" s="38"/>
      <c r="J8" s="10"/>
      <c r="L8" t="s">
        <v>53</v>
      </c>
      <c r="O8" s="38"/>
    </row>
    <row r="9" spans="3:15" ht="15" thickBot="1">
      <c r="C9" s="15"/>
      <c r="D9" s="82">
        <f>D26</f>
        <v>338952.39</v>
      </c>
      <c r="E9" s="63">
        <v>6.9000000000000006E-2</v>
      </c>
      <c r="F9" s="17"/>
      <c r="G9" s="17"/>
      <c r="H9" s="64">
        <f>D9*(1+E9)</f>
        <v>362340.10490999999</v>
      </c>
      <c r="J9" s="15"/>
      <c r="K9" s="82">
        <f>D26</f>
        <v>338952.39</v>
      </c>
      <c r="L9" s="63">
        <v>0.05</v>
      </c>
      <c r="M9" s="17"/>
      <c r="N9" s="17"/>
      <c r="O9" s="64">
        <f>K9*(1+L9)</f>
        <v>355900.00950000004</v>
      </c>
    </row>
    <row r="12" spans="3:15" ht="15" thickBot="1"/>
    <row r="13" spans="3:15" ht="15" thickBot="1">
      <c r="D13" s="83" t="s">
        <v>75</v>
      </c>
      <c r="E13" s="45"/>
      <c r="F13" s="45"/>
      <c r="G13" s="86"/>
    </row>
    <row r="14" spans="3:15" ht="15" thickBot="1">
      <c r="D14" s="83"/>
      <c r="E14" s="84">
        <v>834755.31</v>
      </c>
      <c r="F14" s="84"/>
      <c r="G14" s="85"/>
    </row>
    <row r="15" spans="3:15" ht="30" customHeight="1" thickBot="1">
      <c r="D15" s="94" t="s">
        <v>78</v>
      </c>
      <c r="E15" s="94" t="s">
        <v>79</v>
      </c>
      <c r="F15" s="95" t="s">
        <v>77</v>
      </c>
      <c r="G15" s="94" t="s">
        <v>76</v>
      </c>
    </row>
    <row r="16" spans="3:15" ht="15" thickBot="1">
      <c r="D16" s="87">
        <v>0.29380000000000001</v>
      </c>
      <c r="E16" s="87">
        <v>0.32529999999999998</v>
      </c>
      <c r="F16" s="87">
        <v>0.2707</v>
      </c>
      <c r="G16" s="87">
        <v>0.11020000000000001</v>
      </c>
    </row>
    <row r="17" spans="3:10" ht="15" thickBot="1">
      <c r="D17" s="88">
        <f>E14*D16</f>
        <v>245251.11007800003</v>
      </c>
      <c r="E17" s="90">
        <f>E16*E14</f>
        <v>271545.90234299999</v>
      </c>
      <c r="F17" s="91">
        <f>F16*E14</f>
        <v>225968.26241700002</v>
      </c>
      <c r="G17" s="89">
        <f>G16*E14</f>
        <v>91990.035162000015</v>
      </c>
    </row>
    <row r="19" spans="3:10" ht="48" customHeight="1">
      <c r="D19" s="243" t="s">
        <v>247</v>
      </c>
      <c r="E19" s="243"/>
      <c r="F19" s="243"/>
      <c r="G19" s="243"/>
    </row>
    <row r="20" spans="3:10" ht="15" thickBot="1"/>
    <row r="21" spans="3:10">
      <c r="D21" s="53" t="s">
        <v>55</v>
      </c>
      <c r="E21" s="8"/>
      <c r="F21" s="8"/>
      <c r="G21" s="40"/>
    </row>
    <row r="22" spans="3:10" ht="15" thickBot="1">
      <c r="D22" s="93">
        <v>225968.26</v>
      </c>
      <c r="E22" s="17"/>
      <c r="F22" s="17"/>
      <c r="G22" s="39"/>
    </row>
    <row r="23" spans="3:10">
      <c r="D23" s="53" t="s">
        <v>73</v>
      </c>
      <c r="E23" s="8"/>
      <c r="F23" s="8"/>
      <c r="G23" s="40"/>
    </row>
    <row r="24" spans="3:10" ht="15" thickBot="1">
      <c r="D24" s="78">
        <f>D22/8</f>
        <v>28246.032500000001</v>
      </c>
      <c r="E24" s="17"/>
      <c r="F24" s="17"/>
      <c r="G24" s="39"/>
    </row>
    <row r="25" spans="3:10">
      <c r="D25" s="53" t="s">
        <v>74</v>
      </c>
      <c r="E25" s="8"/>
      <c r="F25" s="8"/>
      <c r="G25" s="40"/>
    </row>
    <row r="26" spans="3:10" ht="15" thickBot="1">
      <c r="D26" s="92">
        <f>D24*12</f>
        <v>338952.39</v>
      </c>
      <c r="E26" s="17"/>
      <c r="F26" s="17"/>
      <c r="G26" s="39"/>
    </row>
    <row r="30" spans="3:10">
      <c r="C30" t="s">
        <v>80</v>
      </c>
    </row>
    <row r="32" spans="3:10" ht="15.75" customHeight="1">
      <c r="C32" s="154"/>
      <c r="D32" s="244" t="s">
        <v>141</v>
      </c>
      <c r="E32" s="246" t="s">
        <v>142</v>
      </c>
      <c r="F32" s="247"/>
      <c r="G32" s="247"/>
      <c r="H32" s="247"/>
      <c r="I32" s="248"/>
      <c r="J32" s="155">
        <v>2024</v>
      </c>
    </row>
    <row r="33" spans="3:12" ht="16.5" customHeight="1">
      <c r="C33" s="154"/>
      <c r="D33" s="245"/>
      <c r="E33" s="156"/>
      <c r="F33" s="156"/>
      <c r="G33" s="156"/>
      <c r="H33" s="156"/>
      <c r="I33" s="156"/>
      <c r="J33" s="157"/>
    </row>
    <row r="34" spans="3:12" ht="18.600000000000001" thickBot="1">
      <c r="C34" s="158" t="s">
        <v>143</v>
      </c>
      <c r="D34" s="159" t="s">
        <v>144</v>
      </c>
      <c r="E34" s="160" t="s">
        <v>78</v>
      </c>
      <c r="F34" s="161" t="s">
        <v>145</v>
      </c>
      <c r="G34" s="162" t="s">
        <v>146</v>
      </c>
      <c r="H34" s="163" t="s">
        <v>147</v>
      </c>
      <c r="I34" s="164" t="s">
        <v>148</v>
      </c>
      <c r="J34" s="165" t="s">
        <v>149</v>
      </c>
      <c r="L34" s="166" t="s">
        <v>150</v>
      </c>
    </row>
    <row r="35" spans="3:12" ht="18.600000000000001" thickBot="1">
      <c r="C35" s="167">
        <v>401</v>
      </c>
      <c r="D35" s="168" t="s">
        <v>9</v>
      </c>
      <c r="E35" s="169">
        <v>44558.270000000004</v>
      </c>
      <c r="F35" s="169">
        <v>231871.29</v>
      </c>
      <c r="G35" s="169">
        <v>86524.939999999988</v>
      </c>
      <c r="H35" s="169">
        <v>10642.720000000001</v>
      </c>
      <c r="I35" s="169">
        <v>24122.65</v>
      </c>
      <c r="J35" s="170">
        <v>397719.87</v>
      </c>
      <c r="L35" s="171">
        <v>6530.0013550000003</v>
      </c>
    </row>
    <row r="36" spans="3:12" ht="18">
      <c r="C36" s="172">
        <v>402</v>
      </c>
      <c r="D36" s="173" t="s">
        <v>151</v>
      </c>
      <c r="E36" s="174">
        <v>784467.03999999992</v>
      </c>
      <c r="F36" s="174">
        <v>527945.28</v>
      </c>
      <c r="G36" s="174">
        <v>389997.65</v>
      </c>
      <c r="H36" s="174">
        <v>147987.43000000002</v>
      </c>
      <c r="I36" s="174">
        <v>35038.74</v>
      </c>
      <c r="J36" s="175">
        <v>1885436.14</v>
      </c>
      <c r="L36" s="171">
        <v>9484.9869179999987</v>
      </c>
    </row>
    <row r="37" spans="3:12" ht="18">
      <c r="C37" s="176" t="s">
        <v>152</v>
      </c>
      <c r="D37" s="177" t="s">
        <v>153</v>
      </c>
      <c r="E37" s="178">
        <v>422718.83999999997</v>
      </c>
      <c r="F37" s="178">
        <v>10978.240000000002</v>
      </c>
      <c r="G37" s="178">
        <v>200991.49</v>
      </c>
      <c r="H37" s="178">
        <v>1077.8800000000001</v>
      </c>
      <c r="I37" s="178">
        <v>28881.62</v>
      </c>
      <c r="J37" s="179">
        <v>664648.06999999995</v>
      </c>
      <c r="L37" s="171">
        <v>7818.2545339999997</v>
      </c>
    </row>
    <row r="38" spans="3:12" ht="18">
      <c r="C38" s="176" t="s">
        <v>154</v>
      </c>
      <c r="D38" s="177" t="s">
        <v>155</v>
      </c>
      <c r="E38" s="178">
        <v>21213.119999999999</v>
      </c>
      <c r="F38" s="178">
        <v>23185.29</v>
      </c>
      <c r="G38" s="178">
        <v>154429.83000000002</v>
      </c>
      <c r="H38" s="178">
        <v>137839.39000000001</v>
      </c>
      <c r="I38" s="178">
        <v>0</v>
      </c>
      <c r="J38" s="179">
        <v>336667.63</v>
      </c>
      <c r="L38" s="171">
        <v>0</v>
      </c>
    </row>
    <row r="39" spans="3:12" ht="18">
      <c r="C39" s="176" t="s">
        <v>156</v>
      </c>
      <c r="D39" s="177" t="s">
        <v>157</v>
      </c>
      <c r="E39" s="178">
        <v>325884.95999999996</v>
      </c>
      <c r="F39" s="178">
        <v>484033.85</v>
      </c>
      <c r="G39" s="178">
        <v>0</v>
      </c>
      <c r="H39" s="178">
        <v>0</v>
      </c>
      <c r="I39" s="178">
        <v>0</v>
      </c>
      <c r="J39" s="179">
        <v>809918.80999999994</v>
      </c>
      <c r="L39" s="171">
        <v>0</v>
      </c>
    </row>
    <row r="40" spans="3:12" ht="18">
      <c r="C40" s="176" t="s">
        <v>158</v>
      </c>
      <c r="D40" s="177" t="s">
        <v>159</v>
      </c>
      <c r="E40" s="178">
        <v>0</v>
      </c>
      <c r="F40" s="178">
        <v>0</v>
      </c>
      <c r="G40" s="178">
        <v>0</v>
      </c>
      <c r="H40" s="178">
        <v>0</v>
      </c>
      <c r="I40" s="178">
        <v>5722.28</v>
      </c>
      <c r="J40" s="179">
        <v>5722.28</v>
      </c>
      <c r="L40" s="171">
        <v>1549.0211959999999</v>
      </c>
    </row>
    <row r="41" spans="3:12" ht="18.600000000000001" thickBot="1">
      <c r="C41" s="180" t="s">
        <v>160</v>
      </c>
      <c r="D41" s="181" t="s">
        <v>161</v>
      </c>
      <c r="E41" s="178">
        <v>14650.12</v>
      </c>
      <c r="F41" s="178">
        <v>9747.8999999999978</v>
      </c>
      <c r="G41" s="178">
        <v>34576.33</v>
      </c>
      <c r="H41" s="178">
        <v>9070.16</v>
      </c>
      <c r="I41" s="178">
        <v>434.84000000000003</v>
      </c>
      <c r="J41" s="182">
        <v>68479.349999999991</v>
      </c>
      <c r="L41" s="171">
        <v>117.71118800000001</v>
      </c>
    </row>
    <row r="42" spans="3:12" ht="18">
      <c r="C42" s="183">
        <v>403</v>
      </c>
      <c r="D42" s="184" t="s">
        <v>162</v>
      </c>
      <c r="E42" s="185">
        <v>110971.42</v>
      </c>
      <c r="F42" s="185">
        <v>1788006.6600000001</v>
      </c>
      <c r="G42" s="185">
        <v>218540.09000000003</v>
      </c>
      <c r="H42" s="185">
        <v>69906.97</v>
      </c>
      <c r="I42" s="185">
        <v>86687.549999999988</v>
      </c>
      <c r="J42" s="186">
        <v>2274112.6900000004</v>
      </c>
      <c r="L42" s="171">
        <v>23466.319784999996</v>
      </c>
    </row>
    <row r="43" spans="3:12" ht="18">
      <c r="C43" s="176" t="s">
        <v>163</v>
      </c>
      <c r="D43" s="177" t="s">
        <v>164</v>
      </c>
      <c r="E43" s="178">
        <v>18520.55</v>
      </c>
      <c r="F43" s="178">
        <v>47817.51</v>
      </c>
      <c r="G43" s="178">
        <v>50705.880000000005</v>
      </c>
      <c r="H43" s="178">
        <v>45402.51</v>
      </c>
      <c r="I43" s="178">
        <v>511.22</v>
      </c>
      <c r="J43" s="179">
        <v>162957.67000000001</v>
      </c>
      <c r="L43" s="171">
        <v>138.38725400000001</v>
      </c>
    </row>
    <row r="44" spans="3:12" ht="18">
      <c r="C44" s="176" t="s">
        <v>165</v>
      </c>
      <c r="D44" s="177" t="s">
        <v>166</v>
      </c>
      <c r="E44" s="178">
        <v>33298.58</v>
      </c>
      <c r="F44" s="178">
        <v>1680878.9500000002</v>
      </c>
      <c r="G44" s="178">
        <v>164383.61000000002</v>
      </c>
      <c r="H44" s="178">
        <v>15116.099999999999</v>
      </c>
      <c r="I44" s="178">
        <v>73293.87999999999</v>
      </c>
      <c r="J44" s="179">
        <v>1966971.1200000003</v>
      </c>
      <c r="L44" s="171">
        <v>19840.653315999996</v>
      </c>
    </row>
    <row r="45" spans="3:12" ht="18">
      <c r="C45" s="176" t="s">
        <v>167</v>
      </c>
      <c r="D45" s="177" t="s">
        <v>168</v>
      </c>
      <c r="E45" s="178">
        <v>0</v>
      </c>
      <c r="F45" s="178">
        <v>0</v>
      </c>
      <c r="G45" s="178">
        <v>0</v>
      </c>
      <c r="H45" s="178">
        <v>0</v>
      </c>
      <c r="I45" s="178">
        <v>440</v>
      </c>
      <c r="J45" s="179">
        <v>440</v>
      </c>
      <c r="L45" s="171">
        <v>119.108</v>
      </c>
    </row>
    <row r="46" spans="3:12" ht="18">
      <c r="C46" s="176" t="s">
        <v>169</v>
      </c>
      <c r="D46" s="177" t="s">
        <v>170</v>
      </c>
      <c r="E46" s="178">
        <v>3490.5</v>
      </c>
      <c r="F46" s="178">
        <v>3330.5</v>
      </c>
      <c r="G46" s="178">
        <v>1627</v>
      </c>
      <c r="H46" s="178">
        <v>1623</v>
      </c>
      <c r="I46" s="178">
        <v>5544.6200000000008</v>
      </c>
      <c r="J46" s="179">
        <v>15615.62</v>
      </c>
      <c r="L46" s="171">
        <v>1500.9286340000001</v>
      </c>
    </row>
    <row r="47" spans="3:12" ht="18">
      <c r="C47" s="176" t="s">
        <v>171</v>
      </c>
      <c r="D47" s="177" t="s">
        <v>172</v>
      </c>
      <c r="E47" s="178">
        <v>0</v>
      </c>
      <c r="F47" s="178">
        <v>0</v>
      </c>
      <c r="G47" s="178">
        <v>0</v>
      </c>
      <c r="H47" s="178">
        <v>0</v>
      </c>
      <c r="I47" s="178">
        <v>1073.57</v>
      </c>
      <c r="J47" s="179">
        <v>1073.57</v>
      </c>
      <c r="L47" s="171">
        <v>290.61539899999997</v>
      </c>
    </row>
    <row r="48" spans="3:12" ht="18">
      <c r="C48" s="176" t="s">
        <v>173</v>
      </c>
      <c r="D48" s="177" t="s">
        <v>174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79">
        <v>0</v>
      </c>
      <c r="L48" s="171">
        <v>0</v>
      </c>
    </row>
    <row r="49" spans="3:12" ht="18">
      <c r="C49" s="176" t="s">
        <v>175</v>
      </c>
      <c r="D49" s="177" t="s">
        <v>176</v>
      </c>
      <c r="E49" s="178">
        <v>55661.789999999994</v>
      </c>
      <c r="F49" s="178">
        <v>55979.7</v>
      </c>
      <c r="G49" s="178">
        <v>1823.6</v>
      </c>
      <c r="H49" s="178">
        <v>7765.3599999999988</v>
      </c>
      <c r="I49" s="178">
        <v>5824.2599999999993</v>
      </c>
      <c r="J49" s="179">
        <v>127054.70999999999</v>
      </c>
      <c r="L49" s="171">
        <v>1576.6271819999997</v>
      </c>
    </row>
    <row r="50" spans="3:12" ht="18.600000000000001" thickBot="1">
      <c r="C50" s="187" t="s">
        <v>177</v>
      </c>
      <c r="D50" s="159" t="s">
        <v>178</v>
      </c>
      <c r="E50" s="178">
        <v>0</v>
      </c>
      <c r="F50" s="178">
        <v>0</v>
      </c>
      <c r="G50" s="178">
        <v>0</v>
      </c>
      <c r="H50" s="178">
        <v>0</v>
      </c>
      <c r="I50" s="178">
        <v>0</v>
      </c>
      <c r="J50" s="188">
        <v>0</v>
      </c>
      <c r="L50" s="171">
        <v>0</v>
      </c>
    </row>
    <row r="51" spans="3:12" ht="18">
      <c r="C51" s="172">
        <v>404</v>
      </c>
      <c r="D51" s="173" t="s">
        <v>179</v>
      </c>
      <c r="E51" s="174">
        <v>83147.27</v>
      </c>
      <c r="F51" s="174">
        <v>16701.260000000002</v>
      </c>
      <c r="G51" s="174">
        <v>5374</v>
      </c>
      <c r="H51" s="174">
        <v>6137.64</v>
      </c>
      <c r="I51" s="174">
        <v>48419.39</v>
      </c>
      <c r="J51" s="175">
        <v>159779.56</v>
      </c>
      <c r="L51" s="171">
        <v>13107.128873</v>
      </c>
    </row>
    <row r="52" spans="3:12" ht="18">
      <c r="C52" s="176" t="s">
        <v>180</v>
      </c>
      <c r="D52" s="177" t="s">
        <v>181</v>
      </c>
      <c r="E52" s="178">
        <v>0</v>
      </c>
      <c r="F52" s="178">
        <v>0</v>
      </c>
      <c r="G52" s="178">
        <v>0</v>
      </c>
      <c r="H52" s="178">
        <v>0</v>
      </c>
      <c r="I52" s="178">
        <v>46237</v>
      </c>
      <c r="J52" s="179">
        <v>46237</v>
      </c>
      <c r="L52" s="171">
        <v>12516.3559</v>
      </c>
    </row>
    <row r="53" spans="3:12" ht="18">
      <c r="C53" s="176" t="s">
        <v>182</v>
      </c>
      <c r="D53" s="177" t="s">
        <v>183</v>
      </c>
      <c r="E53" s="178">
        <v>0</v>
      </c>
      <c r="F53" s="178">
        <v>0</v>
      </c>
      <c r="G53" s="178">
        <v>0</v>
      </c>
      <c r="H53" s="178">
        <v>0</v>
      </c>
      <c r="I53" s="178">
        <v>0</v>
      </c>
      <c r="J53" s="179">
        <v>0</v>
      </c>
      <c r="L53" s="171">
        <v>0</v>
      </c>
    </row>
    <row r="54" spans="3:12" ht="18">
      <c r="C54" s="176" t="s">
        <v>184</v>
      </c>
      <c r="D54" s="177" t="s">
        <v>185</v>
      </c>
      <c r="E54" s="178">
        <v>0</v>
      </c>
      <c r="F54" s="178">
        <v>0</v>
      </c>
      <c r="G54" s="178">
        <v>0</v>
      </c>
      <c r="H54" s="178">
        <v>0</v>
      </c>
      <c r="I54" s="178">
        <v>0</v>
      </c>
      <c r="J54" s="179">
        <v>0</v>
      </c>
      <c r="L54" s="171">
        <v>0</v>
      </c>
    </row>
    <row r="55" spans="3:12" ht="18">
      <c r="C55" s="176" t="s">
        <v>186</v>
      </c>
      <c r="D55" s="177" t="s">
        <v>187</v>
      </c>
      <c r="E55" s="178">
        <v>179.04</v>
      </c>
      <c r="F55" s="178">
        <v>179.04</v>
      </c>
      <c r="G55" s="178">
        <v>5174</v>
      </c>
      <c r="H55" s="178">
        <v>5818.4000000000005</v>
      </c>
      <c r="I55" s="178">
        <v>0</v>
      </c>
      <c r="J55" s="179">
        <v>11350.48</v>
      </c>
      <c r="L55" s="171">
        <v>0</v>
      </c>
    </row>
    <row r="56" spans="3:12" ht="18">
      <c r="C56" s="176" t="s">
        <v>188</v>
      </c>
      <c r="D56" s="177" t="s">
        <v>189</v>
      </c>
      <c r="E56" s="178">
        <v>0</v>
      </c>
      <c r="F56" s="178">
        <v>0</v>
      </c>
      <c r="G56" s="178">
        <v>0</v>
      </c>
      <c r="H56" s="178">
        <v>0</v>
      </c>
      <c r="I56" s="178">
        <v>0</v>
      </c>
      <c r="J56" s="179">
        <v>0</v>
      </c>
      <c r="L56" s="171">
        <v>0</v>
      </c>
    </row>
    <row r="57" spans="3:12" ht="18">
      <c r="C57" s="176" t="s">
        <v>190</v>
      </c>
      <c r="D57" s="177" t="s">
        <v>191</v>
      </c>
      <c r="E57" s="178">
        <v>0</v>
      </c>
      <c r="F57" s="178">
        <v>0</v>
      </c>
      <c r="G57" s="178">
        <v>0</v>
      </c>
      <c r="H57" s="178">
        <v>0</v>
      </c>
      <c r="I57" s="178">
        <v>0</v>
      </c>
      <c r="J57" s="179">
        <v>0</v>
      </c>
      <c r="L57" s="171">
        <v>0</v>
      </c>
    </row>
    <row r="58" spans="3:12" ht="18">
      <c r="C58" s="176" t="s">
        <v>192</v>
      </c>
      <c r="D58" s="177" t="s">
        <v>193</v>
      </c>
      <c r="E58" s="178">
        <v>0</v>
      </c>
      <c r="F58" s="178">
        <v>0</v>
      </c>
      <c r="G58" s="178">
        <v>0</v>
      </c>
      <c r="H58" s="178">
        <v>0</v>
      </c>
      <c r="I58" s="178">
        <v>0</v>
      </c>
      <c r="J58" s="179">
        <v>0</v>
      </c>
      <c r="L58" s="171">
        <v>0</v>
      </c>
    </row>
    <row r="59" spans="3:12" ht="18">
      <c r="C59" s="176" t="s">
        <v>194</v>
      </c>
      <c r="D59" s="177" t="s">
        <v>195</v>
      </c>
      <c r="E59" s="178">
        <v>49913</v>
      </c>
      <c r="F59" s="178">
        <v>17</v>
      </c>
      <c r="G59" s="178">
        <v>0</v>
      </c>
      <c r="H59" s="178">
        <v>199.24</v>
      </c>
      <c r="I59" s="178">
        <v>610.39</v>
      </c>
      <c r="J59" s="179">
        <v>50739.63</v>
      </c>
      <c r="L59" s="171">
        <v>165.232573</v>
      </c>
    </row>
    <row r="60" spans="3:12" ht="18.600000000000001" thickBot="1">
      <c r="C60" s="180" t="s">
        <v>196</v>
      </c>
      <c r="D60" s="181" t="s">
        <v>197</v>
      </c>
      <c r="E60" s="178">
        <v>33055.230000000003</v>
      </c>
      <c r="F60" s="178">
        <v>16505.22</v>
      </c>
      <c r="G60" s="178">
        <v>200</v>
      </c>
      <c r="H60" s="178">
        <v>120</v>
      </c>
      <c r="I60" s="178">
        <v>1572</v>
      </c>
      <c r="J60" s="182">
        <v>51452.450000000004</v>
      </c>
      <c r="L60" s="171">
        <v>425.54039999999998</v>
      </c>
    </row>
    <row r="61" spans="3:12" ht="18">
      <c r="C61" s="183">
        <v>405</v>
      </c>
      <c r="D61" s="184" t="s">
        <v>198</v>
      </c>
      <c r="E61" s="185">
        <v>266479.57</v>
      </c>
      <c r="F61" s="185">
        <v>266479.55999999994</v>
      </c>
      <c r="G61" s="185">
        <v>462964.72000000003</v>
      </c>
      <c r="H61" s="185">
        <v>181770.96</v>
      </c>
      <c r="I61" s="185">
        <v>495490.93000000005</v>
      </c>
      <c r="J61" s="186">
        <v>1673185.7400000002</v>
      </c>
      <c r="L61" s="171">
        <v>134129.39475100001</v>
      </c>
    </row>
    <row r="62" spans="3:12" ht="18">
      <c r="C62" s="176" t="s">
        <v>199</v>
      </c>
      <c r="D62" s="177" t="s">
        <v>200</v>
      </c>
      <c r="E62" s="178">
        <v>266479.57</v>
      </c>
      <c r="F62" s="178">
        <v>266479.55999999994</v>
      </c>
      <c r="G62" s="178">
        <v>443057.02</v>
      </c>
      <c r="H62" s="178">
        <v>151221.59</v>
      </c>
      <c r="I62" s="178">
        <v>359413.65</v>
      </c>
      <c r="J62" s="179">
        <v>1486651.3900000001</v>
      </c>
      <c r="L62" s="171">
        <v>97293.275055000006</v>
      </c>
    </row>
    <row r="63" spans="3:12" ht="18">
      <c r="C63" s="176" t="s">
        <v>201</v>
      </c>
      <c r="D63" s="177" t="s">
        <v>202</v>
      </c>
      <c r="E63" s="178">
        <v>0</v>
      </c>
      <c r="F63" s="178">
        <v>0</v>
      </c>
      <c r="G63" s="178">
        <v>0</v>
      </c>
      <c r="H63" s="178">
        <v>0</v>
      </c>
      <c r="I63" s="178">
        <v>0</v>
      </c>
      <c r="J63" s="179">
        <v>0</v>
      </c>
      <c r="L63" s="171">
        <v>0</v>
      </c>
    </row>
    <row r="64" spans="3:12" ht="18">
      <c r="C64" s="176" t="s">
        <v>203</v>
      </c>
      <c r="D64" s="177" t="s">
        <v>204</v>
      </c>
      <c r="E64" s="178">
        <v>0</v>
      </c>
      <c r="F64" s="178">
        <v>0</v>
      </c>
      <c r="G64" s="178">
        <v>19907.699999999997</v>
      </c>
      <c r="H64" s="178">
        <v>30549.369999999995</v>
      </c>
      <c r="I64" s="178">
        <v>109300</v>
      </c>
      <c r="J64" s="179">
        <v>159757.07</v>
      </c>
      <c r="L64" s="171">
        <v>29587.51</v>
      </c>
    </row>
    <row r="65" spans="3:12" ht="18">
      <c r="C65" s="176" t="s">
        <v>205</v>
      </c>
      <c r="D65" s="177" t="s">
        <v>206</v>
      </c>
      <c r="E65" s="178">
        <v>0</v>
      </c>
      <c r="F65" s="178">
        <v>0</v>
      </c>
      <c r="G65" s="178">
        <v>0</v>
      </c>
      <c r="H65" s="178">
        <v>0</v>
      </c>
      <c r="I65" s="178">
        <v>0</v>
      </c>
      <c r="J65" s="179">
        <v>0</v>
      </c>
      <c r="L65" s="171">
        <v>0</v>
      </c>
    </row>
    <row r="66" spans="3:12" ht="18.600000000000001" thickBot="1">
      <c r="C66" s="187" t="s">
        <v>207</v>
      </c>
      <c r="D66" s="159" t="s">
        <v>208</v>
      </c>
      <c r="E66" s="178">
        <v>0</v>
      </c>
      <c r="F66" s="178">
        <v>0</v>
      </c>
      <c r="G66" s="178">
        <v>0</v>
      </c>
      <c r="H66" s="178">
        <v>0</v>
      </c>
      <c r="I66" s="178">
        <v>26777.279999999999</v>
      </c>
      <c r="J66" s="188">
        <v>26777.279999999999</v>
      </c>
      <c r="L66" s="171">
        <v>7248.6096959999995</v>
      </c>
    </row>
    <row r="67" spans="3:12" ht="18">
      <c r="C67" s="172">
        <v>406</v>
      </c>
      <c r="D67" s="173" t="s">
        <v>209</v>
      </c>
      <c r="E67" s="174">
        <v>69192.53</v>
      </c>
      <c r="F67" s="174">
        <v>69013.67</v>
      </c>
      <c r="G67" s="174">
        <v>114518.69</v>
      </c>
      <c r="H67" s="174">
        <v>48229.94000000001</v>
      </c>
      <c r="I67" s="174">
        <v>105181.53000000001</v>
      </c>
      <c r="J67" s="175">
        <v>406136.36000000004</v>
      </c>
      <c r="L67" s="171">
        <v>28472.640171000003</v>
      </c>
    </row>
    <row r="68" spans="3:12" ht="18">
      <c r="C68" s="176" t="s">
        <v>210</v>
      </c>
      <c r="D68" s="177" t="s">
        <v>211</v>
      </c>
      <c r="E68" s="178">
        <v>43992.14</v>
      </c>
      <c r="F68" s="178">
        <v>43992.15</v>
      </c>
      <c r="G68" s="178">
        <v>75381.850000000006</v>
      </c>
      <c r="H68" s="178">
        <v>26217.660000000003</v>
      </c>
      <c r="I68" s="178">
        <v>64756.11</v>
      </c>
      <c r="J68" s="179">
        <v>254339.91000000003</v>
      </c>
      <c r="L68" s="171">
        <v>17529.478976999999</v>
      </c>
    </row>
    <row r="69" spans="3:12" ht="18">
      <c r="C69" s="176" t="s">
        <v>212</v>
      </c>
      <c r="D69" s="177" t="s">
        <v>213</v>
      </c>
      <c r="E69" s="178">
        <v>11145.68</v>
      </c>
      <c r="F69" s="178">
        <v>11145.68</v>
      </c>
      <c r="G69" s="178">
        <v>16382.880000000001</v>
      </c>
      <c r="H69" s="178">
        <v>8057.1200000000008</v>
      </c>
      <c r="I69" s="178">
        <v>10205.68</v>
      </c>
      <c r="J69" s="179">
        <v>56937.040000000008</v>
      </c>
      <c r="L69" s="171">
        <v>2762.677576</v>
      </c>
    </row>
    <row r="70" spans="3:12" ht="18">
      <c r="C70" s="176" t="s">
        <v>214</v>
      </c>
      <c r="D70" s="177" t="s">
        <v>215</v>
      </c>
      <c r="E70" s="178">
        <v>9186.0600000000013</v>
      </c>
      <c r="F70" s="178">
        <v>9007.2000000000007</v>
      </c>
      <c r="G70" s="178">
        <v>10261.81</v>
      </c>
      <c r="H70" s="178">
        <v>5157.0200000000004</v>
      </c>
      <c r="I70" s="178">
        <v>3356.21</v>
      </c>
      <c r="J70" s="179">
        <v>36968.299999999996</v>
      </c>
      <c r="L70" s="171">
        <v>908.52604699999995</v>
      </c>
    </row>
    <row r="71" spans="3:12" ht="18">
      <c r="C71" s="176" t="s">
        <v>216</v>
      </c>
      <c r="D71" s="177" t="s">
        <v>217</v>
      </c>
      <c r="E71" s="178">
        <v>0</v>
      </c>
      <c r="F71" s="178">
        <v>0</v>
      </c>
      <c r="G71" s="178">
        <v>0</v>
      </c>
      <c r="H71" s="178">
        <v>0</v>
      </c>
      <c r="I71" s="178">
        <v>0</v>
      </c>
      <c r="J71" s="179">
        <v>0</v>
      </c>
      <c r="L71" s="171">
        <v>0</v>
      </c>
    </row>
    <row r="72" spans="3:12" ht="18">
      <c r="C72" s="176" t="s">
        <v>218</v>
      </c>
      <c r="D72" s="177" t="s">
        <v>219</v>
      </c>
      <c r="E72" s="178">
        <v>314.5</v>
      </c>
      <c r="F72" s="178">
        <v>314.5</v>
      </c>
      <c r="G72" s="178">
        <v>419</v>
      </c>
      <c r="H72" s="178">
        <v>0</v>
      </c>
      <c r="I72" s="178">
        <v>355</v>
      </c>
      <c r="J72" s="179">
        <v>1403</v>
      </c>
      <c r="L72" s="171">
        <v>96.098500000000001</v>
      </c>
    </row>
    <row r="73" spans="3:12" ht="18">
      <c r="C73" s="176" t="s">
        <v>220</v>
      </c>
      <c r="D73" s="177" t="s">
        <v>221</v>
      </c>
      <c r="E73" s="178">
        <v>0</v>
      </c>
      <c r="F73" s="178">
        <v>0</v>
      </c>
      <c r="G73" s="178">
        <v>0</v>
      </c>
      <c r="H73" s="178">
        <v>0</v>
      </c>
      <c r="I73" s="178">
        <v>0</v>
      </c>
      <c r="J73" s="179">
        <v>0</v>
      </c>
      <c r="L73" s="171">
        <v>0</v>
      </c>
    </row>
    <row r="74" spans="3:12" ht="18">
      <c r="C74" s="176" t="s">
        <v>222</v>
      </c>
      <c r="D74" s="177" t="s">
        <v>223</v>
      </c>
      <c r="E74" s="178">
        <v>4554.1500000000005</v>
      </c>
      <c r="F74" s="178">
        <v>4554.1400000000003</v>
      </c>
      <c r="G74" s="178">
        <v>9535.7099999999991</v>
      </c>
      <c r="H74" s="178">
        <v>3394.1600000000003</v>
      </c>
      <c r="I74" s="178">
        <v>7975.9400000000005</v>
      </c>
      <c r="J74" s="179">
        <v>30014.1</v>
      </c>
      <c r="L74" s="171">
        <v>2159.0869580000003</v>
      </c>
    </row>
    <row r="75" spans="3:12" ht="18">
      <c r="C75" s="176" t="s">
        <v>224</v>
      </c>
      <c r="D75" s="177" t="s">
        <v>225</v>
      </c>
      <c r="E75" s="178">
        <v>0</v>
      </c>
      <c r="F75" s="178">
        <v>0</v>
      </c>
      <c r="G75" s="178">
        <v>2537.4399999999996</v>
      </c>
      <c r="H75" s="178">
        <v>5403.9800000000005</v>
      </c>
      <c r="I75" s="178">
        <v>18532.59</v>
      </c>
      <c r="J75" s="179">
        <v>26474.010000000002</v>
      </c>
      <c r="L75" s="171">
        <v>5016.772113</v>
      </c>
    </row>
    <row r="76" spans="3:12" ht="18.600000000000001" thickBot="1">
      <c r="C76" s="187" t="s">
        <v>226</v>
      </c>
      <c r="D76" s="159" t="s">
        <v>227</v>
      </c>
      <c r="E76" s="178">
        <v>0</v>
      </c>
      <c r="F76" s="178">
        <v>0</v>
      </c>
      <c r="G76" s="178">
        <v>0</v>
      </c>
      <c r="H76" s="178">
        <v>0</v>
      </c>
      <c r="I76" s="178">
        <v>0</v>
      </c>
      <c r="J76" s="188">
        <v>0</v>
      </c>
      <c r="L76" s="171">
        <v>0</v>
      </c>
    </row>
    <row r="77" spans="3:12" ht="18">
      <c r="C77" s="172">
        <v>407</v>
      </c>
      <c r="D77" s="189" t="s">
        <v>221</v>
      </c>
      <c r="E77" s="174">
        <v>12325.919999999998</v>
      </c>
      <c r="F77" s="174">
        <v>13459.57</v>
      </c>
      <c r="G77" s="174">
        <v>7457.2999999999993</v>
      </c>
      <c r="H77" s="174">
        <v>1856.67</v>
      </c>
      <c r="I77" s="174">
        <v>39814.520000000004</v>
      </c>
      <c r="J77" s="175">
        <v>74913.98</v>
      </c>
      <c r="L77" s="171">
        <v>10777.790564000001</v>
      </c>
    </row>
    <row r="78" spans="3:12" ht="18">
      <c r="C78" s="176" t="s">
        <v>228</v>
      </c>
      <c r="D78" s="177" t="s">
        <v>229</v>
      </c>
      <c r="E78" s="190">
        <v>545.68000000000006</v>
      </c>
      <c r="F78" s="190">
        <v>545.67000000000007</v>
      </c>
      <c r="G78" s="190">
        <v>451.18</v>
      </c>
      <c r="H78" s="190">
        <v>677.15</v>
      </c>
      <c r="I78" s="190">
        <v>207</v>
      </c>
      <c r="J78" s="191">
        <v>2426.6800000000003</v>
      </c>
      <c r="L78" s="171">
        <v>56.0349</v>
      </c>
    </row>
    <row r="79" spans="3:12" ht="18">
      <c r="C79" s="176" t="s">
        <v>230</v>
      </c>
      <c r="D79" s="177" t="s">
        <v>231</v>
      </c>
      <c r="E79" s="190">
        <v>0</v>
      </c>
      <c r="F79" s="190">
        <v>0</v>
      </c>
      <c r="G79" s="190">
        <v>0</v>
      </c>
      <c r="H79" s="190">
        <v>0</v>
      </c>
      <c r="I79" s="190">
        <v>31171</v>
      </c>
      <c r="J79" s="179">
        <v>31171</v>
      </c>
      <c r="L79" s="171">
        <v>8437.9897000000001</v>
      </c>
    </row>
    <row r="80" spans="3:12" ht="18">
      <c r="C80" s="176" t="s">
        <v>232</v>
      </c>
      <c r="D80" s="177" t="s">
        <v>233</v>
      </c>
      <c r="E80" s="190">
        <v>0</v>
      </c>
      <c r="F80" s="190">
        <v>0</v>
      </c>
      <c r="G80" s="190">
        <v>0</v>
      </c>
      <c r="H80" s="190">
        <v>0</v>
      </c>
      <c r="I80" s="190">
        <v>0</v>
      </c>
      <c r="J80" s="179">
        <v>0</v>
      </c>
      <c r="L80" s="171">
        <v>0</v>
      </c>
    </row>
    <row r="81" spans="3:12" ht="18">
      <c r="C81" s="176" t="s">
        <v>234</v>
      </c>
      <c r="D81" s="177" t="s">
        <v>235</v>
      </c>
      <c r="E81" s="190">
        <v>6970.6799999999994</v>
      </c>
      <c r="F81" s="190">
        <v>6970.6799999999994</v>
      </c>
      <c r="G81" s="190">
        <v>0</v>
      </c>
      <c r="H81" s="190">
        <v>0</v>
      </c>
      <c r="I81" s="190">
        <v>8436.52</v>
      </c>
      <c r="J81" s="179">
        <v>22377.879999999997</v>
      </c>
      <c r="L81" s="171">
        <v>2283.7659640000002</v>
      </c>
    </row>
    <row r="82" spans="3:12" ht="18">
      <c r="C82" s="176" t="s">
        <v>236</v>
      </c>
      <c r="D82" s="177" t="s">
        <v>237</v>
      </c>
      <c r="E82" s="190">
        <v>0</v>
      </c>
      <c r="F82" s="190">
        <v>0</v>
      </c>
      <c r="G82" s="190">
        <v>0</v>
      </c>
      <c r="H82" s="190">
        <v>0</v>
      </c>
      <c r="I82" s="190">
        <v>0</v>
      </c>
      <c r="J82" s="179">
        <v>0</v>
      </c>
      <c r="L82" s="171">
        <v>0</v>
      </c>
    </row>
    <row r="83" spans="3:12" ht="18">
      <c r="C83" s="176" t="s">
        <v>238</v>
      </c>
      <c r="D83" s="177" t="s">
        <v>239</v>
      </c>
      <c r="E83" s="190">
        <v>2182.17</v>
      </c>
      <c r="F83" s="190">
        <v>2182.0800000000004</v>
      </c>
      <c r="G83" s="190">
        <v>0</v>
      </c>
      <c r="H83" s="190">
        <v>0</v>
      </c>
      <c r="I83" s="190">
        <v>0</v>
      </c>
      <c r="J83" s="179">
        <v>4364.25</v>
      </c>
      <c r="L83" s="171">
        <v>0</v>
      </c>
    </row>
    <row r="84" spans="3:12" ht="18">
      <c r="C84" s="176" t="s">
        <v>240</v>
      </c>
      <c r="D84" s="177" t="s">
        <v>241</v>
      </c>
      <c r="E84" s="190">
        <v>2627.39</v>
      </c>
      <c r="F84" s="190">
        <v>3761.1399999999994</v>
      </c>
      <c r="G84" s="190">
        <v>7006.119999999999</v>
      </c>
      <c r="H84" s="190">
        <v>1179.52</v>
      </c>
      <c r="I84" s="190">
        <v>0</v>
      </c>
      <c r="J84" s="179">
        <v>14574.169999999998</v>
      </c>
      <c r="L84" s="171">
        <v>0</v>
      </c>
    </row>
    <row r="85" spans="3:12" ht="18.600000000000001" thickBot="1">
      <c r="C85" s="180" t="s">
        <v>242</v>
      </c>
      <c r="D85" s="181" t="s">
        <v>243</v>
      </c>
      <c r="E85" s="190">
        <v>0</v>
      </c>
      <c r="F85" s="190">
        <v>0</v>
      </c>
      <c r="G85" s="190">
        <v>0</v>
      </c>
      <c r="H85" s="190">
        <v>0</v>
      </c>
      <c r="I85" s="190">
        <v>0</v>
      </c>
      <c r="J85" s="182">
        <v>0</v>
      </c>
      <c r="L85" s="171">
        <v>0</v>
      </c>
    </row>
    <row r="86" spans="3:12" ht="18">
      <c r="C86" s="249" t="s">
        <v>244</v>
      </c>
      <c r="D86" s="250"/>
      <c r="E86" s="174">
        <v>1371142.02</v>
      </c>
      <c r="F86" s="174">
        <v>2913477.29</v>
      </c>
      <c r="G86" s="174">
        <v>1285377.3900000001</v>
      </c>
      <c r="H86" s="174">
        <v>466532.33</v>
      </c>
      <c r="I86" s="174">
        <v>834755.31</v>
      </c>
      <c r="J86" s="175">
        <v>6871284.3400000008</v>
      </c>
      <c r="L86" s="171">
        <v>225968.26241700002</v>
      </c>
    </row>
    <row r="87" spans="3:12">
      <c r="E87" s="192"/>
      <c r="F87" s="192"/>
      <c r="G87" s="192"/>
      <c r="H87" s="192"/>
    </row>
    <row r="89" spans="3:12">
      <c r="E89" s="192"/>
      <c r="F89" s="192"/>
      <c r="G89" s="192"/>
      <c r="H89" s="192"/>
      <c r="I89" s="192"/>
    </row>
    <row r="90" spans="3:12">
      <c r="G90" s="61"/>
    </row>
  </sheetData>
  <mergeCells count="4">
    <mergeCell ref="D19:G19"/>
    <mergeCell ref="D32:D33"/>
    <mergeCell ref="E32:I32"/>
    <mergeCell ref="C86:D8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H26"/>
  <sheetViews>
    <sheetView topLeftCell="A10" workbookViewId="0">
      <selection activeCell="H6" sqref="H6"/>
    </sheetView>
  </sheetViews>
  <sheetFormatPr defaultRowHeight="14.4"/>
  <cols>
    <col min="4" max="4" width="13.44140625" customWidth="1"/>
    <col min="5" max="5" width="12.33203125" bestFit="1" customWidth="1"/>
    <col min="8" max="8" width="13.109375" customWidth="1"/>
    <col min="9" max="9" width="16.5546875" customWidth="1"/>
  </cols>
  <sheetData>
    <row r="2" spans="3:8" ht="15" thickBot="1">
      <c r="C2" t="s">
        <v>42</v>
      </c>
      <c r="D2" s="2"/>
      <c r="H2" s="3"/>
    </row>
    <row r="3" spans="3:8" ht="18.600000000000001" thickBot="1">
      <c r="C3" s="46" t="s">
        <v>276</v>
      </c>
      <c r="D3" s="47"/>
      <c r="E3" s="48"/>
      <c r="F3" s="48"/>
      <c r="G3" s="48"/>
      <c r="H3" s="49"/>
    </row>
    <row r="4" spans="3:8" ht="15" thickBot="1">
      <c r="C4" s="53"/>
      <c r="D4" s="7"/>
      <c r="E4" s="8"/>
      <c r="F4" s="8"/>
      <c r="G4" s="8"/>
      <c r="H4" s="9" t="s">
        <v>22</v>
      </c>
    </row>
    <row r="5" spans="3:8">
      <c r="C5" s="200" t="s">
        <v>266</v>
      </c>
      <c r="D5" s="7" t="s">
        <v>267</v>
      </c>
      <c r="E5" s="8"/>
      <c r="F5" s="8"/>
      <c r="G5" s="8"/>
      <c r="H5" s="201">
        <f>H6+H7+H8+H9</f>
        <v>79600</v>
      </c>
    </row>
    <row r="6" spans="3:8" ht="44.25" customHeight="1">
      <c r="C6" s="202" t="s">
        <v>268</v>
      </c>
      <c r="D6" t="s">
        <v>269</v>
      </c>
      <c r="H6" s="203">
        <v>64000</v>
      </c>
    </row>
    <row r="7" spans="3:8" ht="48" customHeight="1">
      <c r="C7" s="202" t="s">
        <v>270</v>
      </c>
      <c r="D7" t="s">
        <v>271</v>
      </c>
      <c r="H7" s="203">
        <v>3000</v>
      </c>
    </row>
    <row r="8" spans="3:8" ht="50.25" customHeight="1">
      <c r="C8" s="202" t="s">
        <v>272</v>
      </c>
      <c r="D8" t="s">
        <v>273</v>
      </c>
      <c r="H8" s="203">
        <v>11000</v>
      </c>
    </row>
    <row r="9" spans="3:8" ht="45.75" customHeight="1">
      <c r="C9" s="202" t="s">
        <v>274</v>
      </c>
      <c r="D9" t="s">
        <v>275</v>
      </c>
      <c r="H9" s="203">
        <v>1600</v>
      </c>
    </row>
    <row r="10" spans="3:8" ht="31.5" customHeight="1" thickBot="1">
      <c r="C10" s="15"/>
      <c r="D10" s="17"/>
      <c r="E10" s="17"/>
      <c r="F10" s="17"/>
      <c r="G10" s="17"/>
      <c r="H10" s="39"/>
    </row>
    <row r="12" spans="3:8" ht="15" thickBot="1"/>
    <row r="13" spans="3:8">
      <c r="C13" s="204">
        <v>1</v>
      </c>
      <c r="D13" s="8"/>
      <c r="E13" s="8"/>
      <c r="F13" s="8"/>
      <c r="G13" s="8"/>
      <c r="H13" s="40"/>
    </row>
    <row r="14" spans="3:8">
      <c r="C14" s="10" t="s">
        <v>277</v>
      </c>
      <c r="E14" s="205">
        <v>320000</v>
      </c>
      <c r="H14" s="38"/>
    </row>
    <row r="15" spans="3:8">
      <c r="C15" s="10" t="s">
        <v>278</v>
      </c>
      <c r="E15" s="207">
        <v>5</v>
      </c>
      <c r="H15" s="38"/>
    </row>
    <row r="16" spans="3:8" ht="15" thickBot="1">
      <c r="C16" s="15" t="s">
        <v>279</v>
      </c>
      <c r="D16" s="17"/>
      <c r="E16" s="75">
        <f>E14/E15</f>
        <v>64000</v>
      </c>
      <c r="F16" s="17"/>
      <c r="G16" s="17"/>
      <c r="H16" s="39"/>
    </row>
    <row r="17" spans="3:8">
      <c r="C17" s="204">
        <v>2</v>
      </c>
      <c r="D17" s="8"/>
      <c r="E17" s="8"/>
      <c r="F17" s="8"/>
      <c r="G17" s="8"/>
      <c r="H17" s="40"/>
    </row>
    <row r="18" spans="3:8" ht="15" thickBot="1">
      <c r="C18" s="10" t="s">
        <v>280</v>
      </c>
      <c r="E18" s="208">
        <v>3000</v>
      </c>
      <c r="H18" s="38"/>
    </row>
    <row r="19" spans="3:8">
      <c r="C19" s="204">
        <v>3</v>
      </c>
      <c r="D19" s="8"/>
      <c r="E19" s="209"/>
      <c r="F19" s="8"/>
      <c r="G19" s="8"/>
      <c r="H19" s="40"/>
    </row>
    <row r="20" spans="3:8">
      <c r="C20" s="210" t="s">
        <v>282</v>
      </c>
      <c r="E20" s="208">
        <v>6</v>
      </c>
      <c r="H20" s="38"/>
    </row>
    <row r="21" spans="3:8">
      <c r="C21" s="10" t="s">
        <v>281</v>
      </c>
      <c r="E21" s="208">
        <v>1833.33</v>
      </c>
      <c r="H21" s="38"/>
    </row>
    <row r="22" spans="3:8" ht="15" thickBot="1">
      <c r="C22" s="15" t="s">
        <v>279</v>
      </c>
      <c r="D22" s="17"/>
      <c r="E22" s="212">
        <f>E20*E21</f>
        <v>10999.98</v>
      </c>
      <c r="F22" s="17"/>
      <c r="G22" s="17"/>
      <c r="H22" s="39"/>
    </row>
    <row r="23" spans="3:8">
      <c r="C23" s="206">
        <v>4</v>
      </c>
      <c r="D23" s="8"/>
      <c r="E23" s="211"/>
      <c r="F23" s="8"/>
      <c r="G23" s="8"/>
      <c r="H23" s="40"/>
    </row>
    <row r="24" spans="3:8" ht="15" thickBot="1">
      <c r="C24" s="15" t="s">
        <v>275</v>
      </c>
      <c r="D24" s="17"/>
      <c r="E24" s="212">
        <v>1600</v>
      </c>
      <c r="F24" s="17"/>
      <c r="G24" s="17"/>
      <c r="H24" s="39"/>
    </row>
    <row r="25" spans="3:8">
      <c r="C25" s="53" t="s">
        <v>283</v>
      </c>
      <c r="D25" s="8"/>
      <c r="E25" s="8"/>
      <c r="F25" s="8"/>
      <c r="G25" s="8"/>
      <c r="H25" s="40"/>
    </row>
    <row r="26" spans="3:8" ht="15" thickBot="1">
      <c r="C26" s="15" t="s">
        <v>284</v>
      </c>
      <c r="D26" s="17"/>
      <c r="E26" s="213">
        <f>E16+E22+E24</f>
        <v>76599.98</v>
      </c>
      <c r="F26" s="17"/>
      <c r="G26" s="17"/>
      <c r="H26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8"/>
  <sheetViews>
    <sheetView topLeftCell="E37" zoomScale="120" zoomScaleNormal="120" workbookViewId="0">
      <selection activeCell="H52" sqref="H52"/>
    </sheetView>
  </sheetViews>
  <sheetFormatPr defaultRowHeight="14.4"/>
  <cols>
    <col min="4" max="4" width="24.44140625" style="2" customWidth="1"/>
    <col min="6" max="6" width="11.33203125" bestFit="1" customWidth="1"/>
    <col min="7" max="7" width="14.109375" customWidth="1"/>
    <col min="8" max="8" width="14.88671875" style="3" bestFit="1" customWidth="1"/>
    <col min="11" max="11" width="22.6640625" customWidth="1"/>
    <col min="13" max="13" width="11.33203125" bestFit="1" customWidth="1"/>
    <col min="14" max="14" width="14.109375" customWidth="1"/>
    <col min="15" max="15" width="14.88671875" bestFit="1" customWidth="1"/>
  </cols>
  <sheetData>
    <row r="1" spans="3:15" ht="15" thickBot="1">
      <c r="C1" t="s">
        <v>42</v>
      </c>
      <c r="J1" t="s">
        <v>44</v>
      </c>
    </row>
    <row r="2" spans="3:15" ht="23.25" customHeight="1" thickBot="1">
      <c r="C2" s="46" t="s">
        <v>40</v>
      </c>
      <c r="D2" s="47"/>
      <c r="E2" s="51"/>
      <c r="F2" s="51"/>
      <c r="G2" s="51"/>
      <c r="H2" s="52"/>
      <c r="I2" s="4"/>
      <c r="J2" s="50" t="s">
        <v>40</v>
      </c>
      <c r="K2" s="47"/>
      <c r="L2" s="48"/>
      <c r="M2" s="48"/>
      <c r="N2" s="48"/>
      <c r="O2" s="49"/>
    </row>
    <row r="3" spans="3:15">
      <c r="C3" s="10"/>
      <c r="H3" s="11" t="s">
        <v>22</v>
      </c>
      <c r="J3" s="10"/>
      <c r="K3" s="2"/>
      <c r="O3" s="11" t="s">
        <v>22</v>
      </c>
    </row>
    <row r="4" spans="3:15" ht="24.9" customHeight="1">
      <c r="C4" s="12" t="s">
        <v>0</v>
      </c>
      <c r="D4" s="4" t="s">
        <v>9</v>
      </c>
      <c r="E4" s="4" t="s">
        <v>39</v>
      </c>
      <c r="H4" s="13">
        <f>'I. Amortyzacja'!H5</f>
        <v>158254.41</v>
      </c>
      <c r="J4" s="12" t="s">
        <v>0</v>
      </c>
      <c r="K4" s="23" t="s">
        <v>9</v>
      </c>
      <c r="L4" s="26" t="s">
        <v>39</v>
      </c>
      <c r="M4" s="24"/>
      <c r="N4" s="24"/>
      <c r="O4" s="25">
        <f>'I. Amortyzacja'!O5</f>
        <v>158254.41</v>
      </c>
    </row>
    <row r="5" spans="3:15" ht="24.9" customHeight="1">
      <c r="C5" s="12" t="s">
        <v>5</v>
      </c>
      <c r="D5" s="2" t="s">
        <v>10</v>
      </c>
      <c r="H5" s="13">
        <f>'II. ZFŚS'!H7</f>
        <v>34242.82</v>
      </c>
      <c r="J5" s="12" t="s">
        <v>5</v>
      </c>
      <c r="K5" s="2" t="s">
        <v>10</v>
      </c>
      <c r="O5" s="13">
        <f>'II. ZFŚS'!O7</f>
        <v>34242.82</v>
      </c>
    </row>
    <row r="6" spans="3:15" ht="24.9" customHeight="1">
      <c r="C6" s="12" t="s">
        <v>1</v>
      </c>
      <c r="D6" s="2" t="s">
        <v>11</v>
      </c>
      <c r="H6" s="13">
        <f>'III. podatek transportowy'!H5</f>
        <v>8537</v>
      </c>
      <c r="J6" s="12" t="s">
        <v>1</v>
      </c>
      <c r="K6" s="23" t="s">
        <v>11</v>
      </c>
      <c r="L6" s="24"/>
      <c r="M6" s="24"/>
      <c r="N6" s="24"/>
      <c r="O6" s="25">
        <f>'III. podatek transportowy'!O5</f>
        <v>7971</v>
      </c>
    </row>
    <row r="7" spans="3:15" ht="24.9" customHeight="1">
      <c r="C7" s="12" t="s">
        <v>2</v>
      </c>
      <c r="D7" s="2" t="s">
        <v>12</v>
      </c>
      <c r="H7" s="13">
        <f>'IV. Polisy OC'!H6</f>
        <v>20310.86</v>
      </c>
      <c r="J7" s="12" t="s">
        <v>2</v>
      </c>
      <c r="K7" s="2" t="s">
        <v>12</v>
      </c>
      <c r="O7" s="13">
        <f>'IV. Polisy OC'!O6</f>
        <v>20310.86</v>
      </c>
    </row>
    <row r="8" spans="3:15" ht="24.9" customHeight="1">
      <c r="C8" s="12" t="s">
        <v>3</v>
      </c>
      <c r="D8" s="2" t="s">
        <v>13</v>
      </c>
      <c r="H8" s="13">
        <f>'V. Paliwo'!H5</f>
        <v>248854.98</v>
      </c>
      <c r="J8" s="12" t="s">
        <v>3</v>
      </c>
      <c r="K8" s="2" t="s">
        <v>13</v>
      </c>
      <c r="O8" s="13">
        <f>'V. Paliwo'!O5</f>
        <v>248854.98</v>
      </c>
    </row>
    <row r="9" spans="3:15" ht="24.9" customHeight="1">
      <c r="C9" s="12" t="s">
        <v>4</v>
      </c>
      <c r="D9" s="2" t="s">
        <v>14</v>
      </c>
      <c r="H9" s="13">
        <f>H10+H11+H12+H13+H14</f>
        <v>1623305.1099999996</v>
      </c>
      <c r="J9" s="12" t="s">
        <v>4</v>
      </c>
      <c r="K9" s="2" t="s">
        <v>14</v>
      </c>
      <c r="O9" s="13">
        <f>O10+O11+O12+O13+O14</f>
        <v>1596321.0699999998</v>
      </c>
    </row>
    <row r="10" spans="3:15" ht="24.9" customHeight="1">
      <c r="C10" s="14">
        <v>1</v>
      </c>
      <c r="D10" s="23" t="s">
        <v>17</v>
      </c>
      <c r="E10" s="24"/>
      <c r="F10" s="24"/>
      <c r="G10" s="24"/>
      <c r="H10" s="25">
        <f>'VI. Wynagrodzenia oraz ZUS'!H7</f>
        <v>25182.9</v>
      </c>
      <c r="I10" s="24"/>
      <c r="J10" s="71">
        <v>1</v>
      </c>
      <c r="K10" s="23" t="s">
        <v>17</v>
      </c>
      <c r="L10" s="24"/>
      <c r="M10" s="24"/>
      <c r="N10" s="24"/>
      <c r="O10" s="25">
        <f>'VI. Wynagrodzenia oraz ZUS'!O7</f>
        <v>20984</v>
      </c>
    </row>
    <row r="11" spans="3:15" ht="24.9" customHeight="1">
      <c r="C11" s="14">
        <v>2</v>
      </c>
      <c r="D11" s="23" t="s">
        <v>18</v>
      </c>
      <c r="E11" s="24"/>
      <c r="F11" s="24"/>
      <c r="G11" s="24"/>
      <c r="H11" s="25">
        <f>'VI. Wynagrodzenia oraz ZUS'!H8</f>
        <v>1393314.43</v>
      </c>
      <c r="I11" s="24"/>
      <c r="J11" s="71">
        <v>2</v>
      </c>
      <c r="K11" s="23" t="s">
        <v>18</v>
      </c>
      <c r="L11" s="24"/>
      <c r="M11" s="24"/>
      <c r="N11" s="24"/>
      <c r="O11" s="25">
        <f>'VI. Wynagrodzenia oraz ZUS'!O8</f>
        <v>1409310.67</v>
      </c>
    </row>
    <row r="12" spans="3:15" ht="24.9" customHeight="1">
      <c r="C12" s="14">
        <v>3</v>
      </c>
      <c r="D12" s="23" t="s">
        <v>19</v>
      </c>
      <c r="E12" s="24"/>
      <c r="F12" s="24"/>
      <c r="G12" s="24"/>
      <c r="H12" s="25">
        <f>'VI. Wynagrodzenia oraz ZUS'!H9</f>
        <v>131770.98000000001</v>
      </c>
      <c r="I12" s="24"/>
      <c r="J12" s="71">
        <v>3</v>
      </c>
      <c r="K12" s="23" t="s">
        <v>19</v>
      </c>
      <c r="L12" s="24"/>
      <c r="M12" s="24"/>
      <c r="N12" s="24"/>
      <c r="O12" s="25">
        <f>'VI. Wynagrodzenia oraz ZUS'!O9</f>
        <v>100792</v>
      </c>
    </row>
    <row r="13" spans="3:15" ht="24.9" customHeight="1">
      <c r="C13" s="14">
        <v>4</v>
      </c>
      <c r="D13" s="2" t="s">
        <v>20</v>
      </c>
      <c r="H13" s="13">
        <f>'VI. Wynagrodzenia oraz ZUS'!H10</f>
        <v>28802.400000000001</v>
      </c>
      <c r="J13" s="14">
        <v>4</v>
      </c>
      <c r="K13" s="2" t="s">
        <v>20</v>
      </c>
      <c r="O13" s="13">
        <f>'VI. Wynagrodzenia oraz ZUS'!O10</f>
        <v>21000</v>
      </c>
    </row>
    <row r="14" spans="3:15" ht="28.8">
      <c r="C14" s="14">
        <v>5</v>
      </c>
      <c r="D14" s="2" t="s">
        <v>21</v>
      </c>
      <c r="H14" s="13">
        <f>'VI. Wynagrodzenia oraz ZUS'!H11</f>
        <v>44234.400000000001</v>
      </c>
      <c r="J14" s="14">
        <v>5</v>
      </c>
      <c r="K14" s="2" t="s">
        <v>21</v>
      </c>
      <c r="O14" s="13">
        <f>'VI. Wynagrodzenia oraz ZUS'!O11</f>
        <v>44234.400000000001</v>
      </c>
    </row>
    <row r="15" spans="3:15" ht="35.1" customHeight="1">
      <c r="C15" s="12" t="s">
        <v>6</v>
      </c>
      <c r="D15" s="2" t="s">
        <v>15</v>
      </c>
      <c r="H15" s="13">
        <v>526292.97</v>
      </c>
      <c r="J15" s="12" t="s">
        <v>6</v>
      </c>
      <c r="K15" s="23" t="s">
        <v>15</v>
      </c>
      <c r="L15" s="24"/>
      <c r="M15" s="24"/>
      <c r="N15" s="24"/>
      <c r="O15" s="25">
        <f>'VII. Pozostałe koszty odpadów'!O5</f>
        <v>516938.83500000002</v>
      </c>
    </row>
    <row r="16" spans="3:15" ht="56.25" customHeight="1">
      <c r="C16" s="12" t="s">
        <v>7</v>
      </c>
      <c r="D16" s="2" t="s">
        <v>16</v>
      </c>
      <c r="H16" s="13">
        <f>'VIII. Koszty Administracji'!H6</f>
        <v>362340.11</v>
      </c>
      <c r="J16" s="12" t="s">
        <v>7</v>
      </c>
      <c r="K16" s="23" t="s">
        <v>16</v>
      </c>
      <c r="L16" s="24"/>
      <c r="M16" s="24"/>
      <c r="N16" s="24"/>
      <c r="O16" s="25">
        <f>'VIII. Koszty Administracji'!O6</f>
        <v>355900.00950000004</v>
      </c>
    </row>
    <row r="17" spans="3:15" ht="51.75" customHeight="1">
      <c r="C17" s="12" t="s">
        <v>8</v>
      </c>
      <c r="D17" s="2" t="s">
        <v>43</v>
      </c>
      <c r="H17" s="13">
        <f>'IX. Koszty zakupu hakowca'!H5</f>
        <v>79600</v>
      </c>
      <c r="J17" s="12" t="s">
        <v>8</v>
      </c>
      <c r="K17" s="2" t="s">
        <v>43</v>
      </c>
      <c r="O17" s="13">
        <f>'IX. Koszty zakupu hakowca'!H5</f>
        <v>79600</v>
      </c>
    </row>
    <row r="18" spans="3:15">
      <c r="C18" s="10"/>
      <c r="H18" s="11"/>
      <c r="J18" s="10"/>
      <c r="K18" s="2"/>
      <c r="O18" s="11"/>
    </row>
    <row r="19" spans="3:15">
      <c r="C19" s="10"/>
      <c r="H19" s="11"/>
      <c r="J19" s="10"/>
      <c r="K19" s="2"/>
      <c r="O19" s="11"/>
    </row>
    <row r="20" spans="3:15" ht="29.4" thickBot="1">
      <c r="C20" s="15"/>
      <c r="D20" s="16" t="s">
        <v>37</v>
      </c>
      <c r="E20" s="17"/>
      <c r="F20" s="17"/>
      <c r="G20" s="17"/>
      <c r="H20" s="18">
        <f>H4+H5+H6+H7+H8+H9+H15+H16+H17</f>
        <v>3061738.2599999993</v>
      </c>
      <c r="J20" s="15"/>
      <c r="K20" s="16" t="s">
        <v>37</v>
      </c>
      <c r="L20" s="17"/>
      <c r="M20" s="17"/>
      <c r="N20" s="17"/>
      <c r="O20" s="18">
        <f>O4+O5+O6+O7+O8+O9+O15+O16+O17</f>
        <v>3018393.9845000003</v>
      </c>
    </row>
    <row r="21" spans="3:15" ht="15" thickBot="1"/>
    <row r="22" spans="3:15" ht="37.5" customHeight="1" thickBot="1">
      <c r="C22" s="50" t="s">
        <v>38</v>
      </c>
      <c r="D22" s="47"/>
      <c r="E22" s="51"/>
      <c r="F22" s="51"/>
      <c r="G22" s="51"/>
      <c r="H22" s="52"/>
      <c r="J22" s="50" t="s">
        <v>38</v>
      </c>
      <c r="K22" s="47"/>
      <c r="L22" s="51"/>
      <c r="M22" s="51"/>
      <c r="N22" s="51"/>
      <c r="O22" s="52"/>
    </row>
    <row r="23" spans="3:15">
      <c r="C23" s="10"/>
      <c r="D23" s="2" t="s">
        <v>23</v>
      </c>
      <c r="G23" s="29">
        <f>0.7013</f>
        <v>0.70130000000000003</v>
      </c>
      <c r="H23" s="30">
        <f>H20*G23</f>
        <v>2147197.0417379998</v>
      </c>
      <c r="J23" s="10"/>
      <c r="K23" s="2" t="s">
        <v>23</v>
      </c>
      <c r="N23" s="29">
        <f>0.7013</f>
        <v>0.70130000000000003</v>
      </c>
      <c r="O23" s="30">
        <f>O20*N23</f>
        <v>2116799.7013298501</v>
      </c>
    </row>
    <row r="24" spans="3:15" ht="28.8">
      <c r="C24" s="10"/>
      <c r="D24" s="2" t="s">
        <v>24</v>
      </c>
      <c r="G24" s="31">
        <v>0.29870000000000002</v>
      </c>
      <c r="H24" s="13">
        <f>H20*G24</f>
        <v>914541.21826199989</v>
      </c>
      <c r="J24" s="10"/>
      <c r="K24" s="2" t="s">
        <v>24</v>
      </c>
      <c r="N24" s="31">
        <v>0.29870000000000002</v>
      </c>
      <c r="O24" s="13">
        <f>O20*N24</f>
        <v>901594.28317015013</v>
      </c>
    </row>
    <row r="25" spans="3:15" ht="43.2">
      <c r="C25" s="10"/>
      <c r="D25" s="2" t="s">
        <v>25</v>
      </c>
      <c r="G25" s="32">
        <v>0.03</v>
      </c>
      <c r="H25" s="30">
        <f>H23*1.03</f>
        <v>2211612.9529901398</v>
      </c>
      <c r="J25" s="10"/>
      <c r="K25" s="2" t="s">
        <v>25</v>
      </c>
      <c r="N25" s="32">
        <v>0.03</v>
      </c>
      <c r="O25" s="30">
        <f>O23*1.03</f>
        <v>2180303.6923697456</v>
      </c>
    </row>
    <row r="26" spans="3:15" ht="43.8" thickBot="1">
      <c r="C26" s="15"/>
      <c r="D26" s="33" t="s">
        <v>26</v>
      </c>
      <c r="E26" s="17"/>
      <c r="F26" s="34" t="s">
        <v>27</v>
      </c>
      <c r="G26" s="35">
        <v>0.08</v>
      </c>
      <c r="H26" s="18">
        <f>H25*1.08</f>
        <v>2388541.9892293513</v>
      </c>
      <c r="J26" s="15"/>
      <c r="K26" s="33" t="s">
        <v>26</v>
      </c>
      <c r="L26" s="17"/>
      <c r="M26" s="34" t="s">
        <v>27</v>
      </c>
      <c r="N26" s="35">
        <v>0.08</v>
      </c>
      <c r="O26" s="18">
        <f>O25*1.08</f>
        <v>2354727.9877593252</v>
      </c>
    </row>
    <row r="27" spans="3:15" ht="15" thickBot="1"/>
    <row r="28" spans="3:15" ht="18.600000000000001" thickBot="1">
      <c r="C28" s="50" t="s">
        <v>41</v>
      </c>
      <c r="D28" s="47"/>
      <c r="E28" s="51"/>
      <c r="F28" s="51"/>
      <c r="G28" s="51"/>
      <c r="H28" s="52"/>
      <c r="J28" s="50" t="s">
        <v>41</v>
      </c>
      <c r="K28" s="47"/>
      <c r="L28" s="51"/>
      <c r="M28" s="51"/>
      <c r="N28" s="51"/>
      <c r="O28" s="52"/>
    </row>
    <row r="29" spans="3:15" ht="28.8">
      <c r="C29" s="53"/>
      <c r="D29" s="7" t="s">
        <v>28</v>
      </c>
      <c r="E29" s="8"/>
      <c r="F29" s="8"/>
      <c r="G29" s="55">
        <v>5292</v>
      </c>
      <c r="H29" s="56" t="s">
        <v>48</v>
      </c>
      <c r="J29" s="10"/>
      <c r="K29" s="2" t="s">
        <v>28</v>
      </c>
      <c r="N29" s="36">
        <v>5292</v>
      </c>
      <c r="O29" s="37" t="s">
        <v>48</v>
      </c>
    </row>
    <row r="30" spans="3:15" ht="15" thickBot="1">
      <c r="C30" s="15"/>
      <c r="D30" s="33"/>
      <c r="E30" s="17"/>
      <c r="F30" s="17"/>
      <c r="G30" s="17"/>
      <c r="H30" s="41"/>
      <c r="J30" s="15"/>
      <c r="K30" s="17"/>
      <c r="L30" s="17"/>
      <c r="M30" s="17"/>
      <c r="N30" s="17"/>
      <c r="O30" s="39"/>
    </row>
    <row r="31" spans="3:15" ht="18.600000000000001" thickBot="1">
      <c r="C31" s="50" t="s">
        <v>45</v>
      </c>
      <c r="D31" s="47"/>
      <c r="E31" s="51"/>
      <c r="F31" s="51"/>
      <c r="G31" s="51"/>
      <c r="H31" s="52"/>
      <c r="J31" s="50" t="s">
        <v>45</v>
      </c>
      <c r="K31" s="47"/>
      <c r="L31" s="51"/>
      <c r="M31" s="51"/>
      <c r="N31" s="51"/>
      <c r="O31" s="52"/>
    </row>
    <row r="32" spans="3:15" ht="43.2">
      <c r="C32" s="53"/>
      <c r="D32" s="7" t="s">
        <v>29</v>
      </c>
      <c r="E32" s="8"/>
      <c r="F32" s="8"/>
      <c r="G32" s="8"/>
      <c r="H32" s="54">
        <f>H25/G29</f>
        <v>417.91627985452379</v>
      </c>
      <c r="J32" s="53"/>
      <c r="K32" s="7" t="s">
        <v>29</v>
      </c>
      <c r="L32" s="8"/>
      <c r="M32" s="8"/>
      <c r="N32" s="8"/>
      <c r="O32" s="54">
        <f>O25/N29</f>
        <v>411.99994186881059</v>
      </c>
    </row>
    <row r="33" spans="3:17" ht="43.8" thickBot="1">
      <c r="C33" s="15"/>
      <c r="D33" s="33" t="s">
        <v>30</v>
      </c>
      <c r="E33" s="17"/>
      <c r="F33" s="17"/>
      <c r="G33" s="17"/>
      <c r="H33" s="18">
        <f>H26/G29</f>
        <v>451.34958224288573</v>
      </c>
      <c r="J33" s="15"/>
      <c r="K33" s="33" t="s">
        <v>30</v>
      </c>
      <c r="L33" s="17"/>
      <c r="M33" s="17"/>
      <c r="N33" s="17"/>
      <c r="O33" s="18">
        <f>O26/N29</f>
        <v>444.95993721831542</v>
      </c>
    </row>
    <row r="34" spans="3:17" ht="15" thickBot="1"/>
    <row r="35" spans="3:17" ht="18.600000000000001" thickBot="1">
      <c r="C35" s="50" t="s">
        <v>46</v>
      </c>
      <c r="D35" s="47"/>
      <c r="E35" s="51"/>
      <c r="F35" s="51"/>
      <c r="G35" s="51"/>
      <c r="H35" s="52"/>
      <c r="J35" s="50" t="s">
        <v>46</v>
      </c>
      <c r="K35" s="47"/>
      <c r="L35" s="51"/>
      <c r="M35" s="51"/>
      <c r="N35" s="51"/>
      <c r="O35" s="52"/>
    </row>
    <row r="36" spans="3:17">
      <c r="C36" s="10">
        <v>2024</v>
      </c>
      <c r="D36" t="s">
        <v>34</v>
      </c>
      <c r="H36" s="11">
        <v>368.23</v>
      </c>
      <c r="J36" s="10">
        <v>2024</v>
      </c>
      <c r="K36" t="s">
        <v>34</v>
      </c>
      <c r="O36" s="11">
        <v>368.23</v>
      </c>
    </row>
    <row r="37" spans="3:17">
      <c r="C37" s="10">
        <v>2025</v>
      </c>
      <c r="D37" t="s">
        <v>35</v>
      </c>
      <c r="H37" s="11">
        <v>417.92</v>
      </c>
      <c r="J37" s="10">
        <v>2025</v>
      </c>
      <c r="K37" t="s">
        <v>35</v>
      </c>
      <c r="O37" s="11">
        <f>O32</f>
        <v>411.99994186881059</v>
      </c>
    </row>
    <row r="38" spans="3:17">
      <c r="C38" s="10"/>
      <c r="D38" t="s">
        <v>36</v>
      </c>
      <c r="H38" s="11">
        <f>H37-H36</f>
        <v>49.69</v>
      </c>
      <c r="J38" s="10"/>
      <c r="K38" t="s">
        <v>36</v>
      </c>
      <c r="O38" s="11">
        <f>O37-O36</f>
        <v>43.769941868810577</v>
      </c>
    </row>
    <row r="39" spans="3:17">
      <c r="C39" s="10"/>
      <c r="D39"/>
      <c r="H39" s="11"/>
      <c r="J39" s="10"/>
      <c r="O39" s="11"/>
    </row>
    <row r="40" spans="3:17">
      <c r="C40" s="10"/>
      <c r="D40"/>
      <c r="H40" s="11"/>
      <c r="J40" s="10"/>
      <c r="O40" s="11"/>
    </row>
    <row r="41" spans="3:17">
      <c r="C41" s="10">
        <v>2024</v>
      </c>
      <c r="D41" t="s">
        <v>31</v>
      </c>
      <c r="H41" s="11">
        <v>452.92</v>
      </c>
      <c r="J41" s="10">
        <v>2024</v>
      </c>
      <c r="K41" t="s">
        <v>31</v>
      </c>
      <c r="O41" s="11">
        <v>452.92</v>
      </c>
    </row>
    <row r="42" spans="3:17">
      <c r="C42" s="57">
        <v>2025</v>
      </c>
      <c r="D42" s="58" t="s">
        <v>32</v>
      </c>
      <c r="E42" s="58"/>
      <c r="F42" s="58"/>
      <c r="G42" s="58"/>
      <c r="H42" s="59">
        <f>H33</f>
        <v>451.34958224288573</v>
      </c>
      <c r="J42" s="60">
        <v>2025</v>
      </c>
      <c r="K42" s="24" t="s">
        <v>32</v>
      </c>
      <c r="L42" s="24"/>
      <c r="M42" s="24"/>
      <c r="N42" s="24"/>
      <c r="O42" s="214">
        <f>ROUNDUP(O33,2)</f>
        <v>444.96</v>
      </c>
      <c r="Q42" s="27"/>
    </row>
    <row r="43" spans="3:17" ht="15" thickBot="1">
      <c r="C43" s="15"/>
      <c r="D43" s="17" t="s">
        <v>33</v>
      </c>
      <c r="E43" s="17"/>
      <c r="F43" s="17"/>
      <c r="G43" s="17"/>
      <c r="H43" s="41">
        <f>H42-H41</f>
        <v>-1.570417757114285</v>
      </c>
      <c r="J43" s="15"/>
      <c r="K43" s="17" t="s">
        <v>33</v>
      </c>
      <c r="L43" s="17"/>
      <c r="M43" s="17"/>
      <c r="N43" s="17"/>
      <c r="O43" s="41">
        <f>O42-O41</f>
        <v>-7.9600000000000364</v>
      </c>
    </row>
    <row r="44" spans="3:17" ht="15" thickBot="1"/>
    <row r="45" spans="3:17" ht="18.600000000000001" thickBot="1">
      <c r="C45" s="50" t="s">
        <v>47</v>
      </c>
      <c r="D45" s="47"/>
      <c r="E45" s="51"/>
      <c r="F45" s="51"/>
      <c r="G45" s="51"/>
      <c r="H45" s="52"/>
      <c r="J45" s="50" t="s">
        <v>47</v>
      </c>
      <c r="K45" s="47"/>
      <c r="L45" s="51"/>
      <c r="M45" s="51"/>
      <c r="N45" s="51"/>
      <c r="O45" s="52"/>
    </row>
    <row r="46" spans="3:17" ht="28.8">
      <c r="C46" s="10"/>
      <c r="F46" s="44" t="s">
        <v>57</v>
      </c>
      <c r="G46" s="44" t="s">
        <v>56</v>
      </c>
      <c r="H46" s="43" t="s">
        <v>51</v>
      </c>
      <c r="I46" s="44"/>
      <c r="J46" s="14"/>
      <c r="K46" s="44"/>
      <c r="L46" s="44"/>
      <c r="M46" s="44" t="s">
        <v>57</v>
      </c>
      <c r="N46" s="44" t="s">
        <v>56</v>
      </c>
      <c r="O46" s="43" t="s">
        <v>51</v>
      </c>
    </row>
    <row r="47" spans="3:17">
      <c r="C47" s="10">
        <v>2024</v>
      </c>
      <c r="D47" s="2" t="s">
        <v>50</v>
      </c>
      <c r="F47" s="76">
        <v>5637.66</v>
      </c>
      <c r="G47" s="72">
        <v>452.92</v>
      </c>
      <c r="H47" s="11">
        <f>F47*G47</f>
        <v>2553408.9671999998</v>
      </c>
      <c r="J47" s="10">
        <v>2024</v>
      </c>
      <c r="M47" s="76">
        <v>5309</v>
      </c>
      <c r="N47" s="72">
        <v>452.92</v>
      </c>
      <c r="O47" s="11">
        <f>M47*N47</f>
        <v>2404552.2800000003</v>
      </c>
    </row>
    <row r="48" spans="3:17">
      <c r="C48" s="10"/>
      <c r="D48" s="2" t="s">
        <v>52</v>
      </c>
      <c r="F48" s="76">
        <v>5415.94</v>
      </c>
      <c r="G48" s="72">
        <v>452.92</v>
      </c>
      <c r="H48" s="11">
        <f>G48*F48</f>
        <v>2452987.5447999998</v>
      </c>
      <c r="J48" s="10"/>
      <c r="M48" s="76">
        <v>5415.94</v>
      </c>
      <c r="N48" s="72">
        <v>452.92</v>
      </c>
      <c r="O48" s="11">
        <f>N48*M48</f>
        <v>2452987.5447999998</v>
      </c>
    </row>
    <row r="49" spans="3:15">
      <c r="C49" s="10">
        <v>2025</v>
      </c>
      <c r="D49" s="2" t="s">
        <v>50</v>
      </c>
      <c r="F49" s="76">
        <v>5415.94</v>
      </c>
      <c r="G49" s="73">
        <f>H33</f>
        <v>451.34958224288573</v>
      </c>
      <c r="H49" s="11">
        <f>F49*G49</f>
        <v>2444482.2564525343</v>
      </c>
      <c r="J49" s="10">
        <v>2025</v>
      </c>
      <c r="M49" s="76">
        <v>5415.94</v>
      </c>
      <c r="N49" s="73">
        <f>O42</f>
        <v>444.96</v>
      </c>
      <c r="O49" s="150">
        <f>M49*N49</f>
        <v>2409876.6623999998</v>
      </c>
    </row>
    <row r="50" spans="3:15">
      <c r="C50" s="10"/>
      <c r="H50" s="11"/>
      <c r="J50" s="10"/>
      <c r="O50" s="38"/>
    </row>
    <row r="51" spans="3:15">
      <c r="C51" s="10"/>
      <c r="H51" s="11"/>
      <c r="J51" s="10"/>
      <c r="O51" s="38"/>
    </row>
    <row r="52" spans="3:15" ht="87" thickBot="1">
      <c r="C52" s="42" t="s">
        <v>48</v>
      </c>
      <c r="D52" s="33" t="s">
        <v>81</v>
      </c>
      <c r="E52" s="17"/>
      <c r="F52" s="17"/>
      <c r="G52" s="17"/>
      <c r="H52" s="41"/>
      <c r="J52" s="42" t="s">
        <v>48</v>
      </c>
      <c r="K52" s="33" t="s">
        <v>49</v>
      </c>
      <c r="L52" s="17"/>
      <c r="M52" s="17"/>
      <c r="N52" s="17"/>
      <c r="O52" s="39"/>
    </row>
    <row r="56" spans="3:15">
      <c r="G56" s="27"/>
    </row>
    <row r="58" spans="3:15">
      <c r="G58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O16"/>
  <sheetViews>
    <sheetView workbookViewId="0">
      <selection activeCell="H11" sqref="H11:H15"/>
    </sheetView>
  </sheetViews>
  <sheetFormatPr defaultRowHeight="14.4"/>
  <cols>
    <col min="3" max="3" width="13.44140625" bestFit="1" customWidth="1"/>
    <col min="4" max="4" width="13" customWidth="1"/>
    <col min="7" max="7" width="10" bestFit="1" customWidth="1"/>
    <col min="8" max="8" width="14.88671875" bestFit="1" customWidth="1"/>
    <col min="9" max="9" width="14.109375" customWidth="1"/>
    <col min="10" max="10" width="13.44140625" bestFit="1" customWidth="1"/>
    <col min="11" max="11" width="15.33203125" customWidth="1"/>
    <col min="15" max="15" width="14.88671875" bestFit="1" customWidth="1"/>
  </cols>
  <sheetData>
    <row r="2" spans="3:15" ht="15" thickBot="1">
      <c r="C2" t="s">
        <v>42</v>
      </c>
      <c r="D2" s="2"/>
      <c r="H2" s="3"/>
      <c r="J2" t="s">
        <v>44</v>
      </c>
    </row>
    <row r="3" spans="3:15" ht="18.600000000000001" thickBot="1">
      <c r="C3" s="46" t="s">
        <v>40</v>
      </c>
      <c r="D3" s="47"/>
      <c r="E3" s="48"/>
      <c r="F3" s="48"/>
      <c r="G3" s="48"/>
      <c r="H3" s="49"/>
      <c r="J3" s="46" t="s">
        <v>40</v>
      </c>
      <c r="K3" s="47"/>
      <c r="L3" s="48"/>
      <c r="M3" s="48"/>
      <c r="N3" s="48"/>
      <c r="O3" s="49"/>
    </row>
    <row r="4" spans="3:15">
      <c r="C4" s="53"/>
      <c r="D4" s="7"/>
      <c r="E4" s="8"/>
      <c r="F4" s="8"/>
      <c r="G4" s="8"/>
      <c r="H4" s="9" t="s">
        <v>22</v>
      </c>
      <c r="J4" s="53"/>
      <c r="K4" s="7"/>
      <c r="L4" s="8"/>
      <c r="M4" s="8"/>
      <c r="N4" s="8"/>
      <c r="O4" s="9" t="s">
        <v>22</v>
      </c>
    </row>
    <row r="5" spans="3:15">
      <c r="C5" s="12" t="s">
        <v>0</v>
      </c>
      <c r="D5" s="4" t="s">
        <v>9</v>
      </c>
      <c r="E5" s="4" t="s">
        <v>39</v>
      </c>
      <c r="H5" s="13">
        <v>158254.41</v>
      </c>
      <c r="J5" s="12" t="s">
        <v>0</v>
      </c>
      <c r="K5" s="23" t="s">
        <v>9</v>
      </c>
      <c r="L5" s="26" t="s">
        <v>39</v>
      </c>
      <c r="M5" s="24"/>
      <c r="N5" s="24"/>
      <c r="O5" s="25">
        <v>158254.41</v>
      </c>
    </row>
    <row r="6" spans="3:15" ht="15" thickBot="1">
      <c r="C6" s="15"/>
      <c r="D6" s="17"/>
      <c r="E6" s="17"/>
      <c r="F6" s="17"/>
      <c r="G6" s="17"/>
      <c r="H6" s="39"/>
      <c r="J6" s="15"/>
      <c r="K6" s="17"/>
      <c r="L6" s="17"/>
      <c r="M6" s="17"/>
      <c r="N6" s="17"/>
      <c r="O6" s="39"/>
    </row>
    <row r="8" spans="3:15">
      <c r="C8" s="232" t="s">
        <v>245</v>
      </c>
      <c r="D8" s="232"/>
      <c r="E8" s="232"/>
      <c r="F8" s="232"/>
      <c r="G8" s="232"/>
      <c r="H8" s="232"/>
      <c r="J8" s="232" t="s">
        <v>245</v>
      </c>
      <c r="K8" s="232"/>
      <c r="L8" s="232"/>
      <c r="M8" s="232"/>
      <c r="N8" s="232"/>
      <c r="O8" s="232"/>
    </row>
    <row r="9" spans="3:15">
      <c r="C9" s="6">
        <v>69609.759999999995</v>
      </c>
      <c r="J9" s="6">
        <v>69609.759999999995</v>
      </c>
      <c r="K9" s="6"/>
      <c r="L9" s="6"/>
      <c r="M9" s="6"/>
      <c r="N9" s="6"/>
      <c r="O9" s="6"/>
    </row>
    <row r="10" spans="3:15" ht="33.75" customHeight="1">
      <c r="C10" s="231" t="s">
        <v>246</v>
      </c>
      <c r="D10" s="231"/>
      <c r="E10" s="231"/>
      <c r="F10" s="231"/>
      <c r="G10" s="231"/>
      <c r="H10" s="231"/>
      <c r="J10" s="233" t="s">
        <v>246</v>
      </c>
      <c r="K10" s="233"/>
      <c r="L10" s="233"/>
      <c r="M10" s="233"/>
      <c r="N10" s="233"/>
      <c r="O10" s="233"/>
    </row>
    <row r="11" spans="3:15">
      <c r="C11" s="6">
        <v>88644.65</v>
      </c>
      <c r="J11" s="6">
        <v>88644.65</v>
      </c>
      <c r="K11" s="6"/>
      <c r="L11" s="6"/>
      <c r="M11" s="6"/>
      <c r="N11" s="6"/>
      <c r="O11" s="6"/>
    </row>
    <row r="12" spans="3:15">
      <c r="C12" t="s">
        <v>61</v>
      </c>
      <c r="J12" s="6" t="s">
        <v>61</v>
      </c>
      <c r="K12" s="6"/>
      <c r="L12" s="6"/>
      <c r="M12" s="6"/>
      <c r="N12" s="6"/>
      <c r="O12" s="6"/>
    </row>
    <row r="13" spans="3:15">
      <c r="C13" s="27">
        <f>C9+C11</f>
        <v>158254.40999999997</v>
      </c>
      <c r="G13" s="194"/>
      <c r="J13" s="6">
        <v>158254.41</v>
      </c>
      <c r="K13" s="6"/>
      <c r="L13" s="6"/>
      <c r="M13" s="6"/>
      <c r="N13" s="6"/>
      <c r="O13" s="6"/>
    </row>
    <row r="14" spans="3:15">
      <c r="G14" s="194"/>
    </row>
    <row r="16" spans="3:15">
      <c r="G16" s="194"/>
    </row>
  </sheetData>
  <mergeCells count="4">
    <mergeCell ref="C10:H10"/>
    <mergeCell ref="C8:H8"/>
    <mergeCell ref="J8:O8"/>
    <mergeCell ref="J10:O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O20"/>
  <sheetViews>
    <sheetView zoomScale="120" zoomScaleNormal="120" workbookViewId="0">
      <selection activeCell="C11" sqref="C11:H20"/>
    </sheetView>
  </sheetViews>
  <sheetFormatPr defaultRowHeight="14.4"/>
  <cols>
    <col min="4" max="4" width="13.44140625" customWidth="1"/>
    <col min="5" max="5" width="12.33203125" bestFit="1" customWidth="1"/>
    <col min="8" max="8" width="14.88671875" bestFit="1" customWidth="1"/>
    <col min="9" max="9" width="18.5546875" customWidth="1"/>
    <col min="11" max="11" width="13.5546875" customWidth="1"/>
    <col min="12" max="12" width="12.33203125" bestFit="1" customWidth="1"/>
    <col min="15" max="15" width="14.88671875" bestFit="1" customWidth="1"/>
  </cols>
  <sheetData>
    <row r="3" spans="3:15" ht="15" thickBot="1">
      <c r="C3" t="s">
        <v>42</v>
      </c>
      <c r="D3" s="2"/>
      <c r="H3" s="3"/>
      <c r="J3" t="s">
        <v>44</v>
      </c>
    </row>
    <row r="4" spans="3:15" ht="18.600000000000001" thickBot="1">
      <c r="C4" s="46" t="s">
        <v>40</v>
      </c>
      <c r="D4" s="47"/>
      <c r="E4" s="48"/>
      <c r="F4" s="48"/>
      <c r="G4" s="48"/>
      <c r="H4" s="49"/>
      <c r="J4" s="46" t="s">
        <v>40</v>
      </c>
      <c r="K4" s="47"/>
      <c r="L4" s="48"/>
      <c r="M4" s="48"/>
      <c r="N4" s="48"/>
      <c r="O4" s="49"/>
    </row>
    <row r="5" spans="3:15">
      <c r="C5" s="53"/>
      <c r="D5" s="7"/>
      <c r="E5" s="8"/>
      <c r="F5" s="8"/>
      <c r="G5" s="8"/>
      <c r="H5" s="9" t="s">
        <v>22</v>
      </c>
      <c r="J5" s="53"/>
      <c r="K5" s="7"/>
      <c r="L5" s="8"/>
      <c r="M5" s="8"/>
      <c r="N5" s="8"/>
      <c r="O5" s="9" t="s">
        <v>22</v>
      </c>
    </row>
    <row r="6" spans="3:15">
      <c r="C6" s="12"/>
      <c r="D6" s="4"/>
      <c r="E6" s="4"/>
      <c r="H6" s="13"/>
      <c r="J6" s="12"/>
      <c r="K6" s="2"/>
      <c r="L6" s="4"/>
      <c r="O6" s="77"/>
    </row>
    <row r="7" spans="3:15" ht="15" thickBot="1">
      <c r="C7" s="65" t="s">
        <v>5</v>
      </c>
      <c r="D7" s="33" t="s">
        <v>10</v>
      </c>
      <c r="E7" s="17"/>
      <c r="F7" s="17"/>
      <c r="G7" s="17"/>
      <c r="H7" s="66">
        <f>E20</f>
        <v>34242.82</v>
      </c>
      <c r="J7" s="65" t="s">
        <v>5</v>
      </c>
      <c r="K7" s="33" t="s">
        <v>10</v>
      </c>
      <c r="L7" s="17"/>
      <c r="M7" s="17"/>
      <c r="N7" s="17"/>
      <c r="O7" s="66">
        <f>L20</f>
        <v>34242.82</v>
      </c>
    </row>
    <row r="10" spans="3:15" ht="15" thickBot="1">
      <c r="C10" t="s">
        <v>58</v>
      </c>
      <c r="J10" t="s">
        <v>58</v>
      </c>
    </row>
    <row r="11" spans="3:15">
      <c r="C11" s="53" t="s">
        <v>65</v>
      </c>
      <c r="D11" s="8"/>
      <c r="E11" s="8"/>
      <c r="F11" s="8"/>
      <c r="G11" s="8"/>
      <c r="H11" s="40"/>
      <c r="J11" s="53" t="s">
        <v>65</v>
      </c>
      <c r="K11" s="8"/>
      <c r="L11" s="8"/>
      <c r="M11" s="8"/>
      <c r="N11" s="8"/>
      <c r="O11" s="40"/>
    </row>
    <row r="12" spans="3:15">
      <c r="C12" s="10" t="s">
        <v>59</v>
      </c>
      <c r="E12" s="44">
        <v>14</v>
      </c>
      <c r="H12" s="38"/>
      <c r="J12" s="10" t="s">
        <v>59</v>
      </c>
      <c r="L12" s="44">
        <v>14</v>
      </c>
      <c r="O12" s="38"/>
    </row>
    <row r="13" spans="3:15">
      <c r="C13" s="10" t="s">
        <v>60</v>
      </c>
      <c r="E13" s="74">
        <v>2417.14</v>
      </c>
      <c r="H13" s="38"/>
      <c r="J13" s="10" t="s">
        <v>60</v>
      </c>
      <c r="L13" s="74">
        <v>2417.14</v>
      </c>
      <c r="O13" s="38"/>
    </row>
    <row r="14" spans="3:15" ht="15" thickBot="1">
      <c r="C14" s="15" t="s">
        <v>61</v>
      </c>
      <c r="D14" s="17"/>
      <c r="E14" s="75">
        <f>E13*E12</f>
        <v>33839.96</v>
      </c>
      <c r="F14" s="17"/>
      <c r="G14" s="17"/>
      <c r="H14" s="39"/>
      <c r="J14" s="15" t="s">
        <v>61</v>
      </c>
      <c r="K14" s="17"/>
      <c r="L14" s="75">
        <f>L13*L12</f>
        <v>33839.96</v>
      </c>
      <c r="M14" s="17"/>
      <c r="N14" s="17"/>
      <c r="O14" s="39"/>
    </row>
    <row r="15" spans="3:15">
      <c r="C15" s="53" t="s">
        <v>66</v>
      </c>
      <c r="D15" s="8"/>
      <c r="E15" s="8"/>
      <c r="F15" s="8"/>
      <c r="G15" s="8"/>
      <c r="H15" s="40"/>
      <c r="J15" s="53" t="s">
        <v>66</v>
      </c>
      <c r="K15" s="8"/>
      <c r="L15" s="8"/>
      <c r="M15" s="8"/>
      <c r="N15" s="8"/>
      <c r="O15" s="40"/>
    </row>
    <row r="16" spans="3:15">
      <c r="C16" s="10" t="s">
        <v>63</v>
      </c>
      <c r="E16" s="72">
        <v>1</v>
      </c>
      <c r="H16" s="38"/>
      <c r="J16" s="10" t="s">
        <v>63</v>
      </c>
      <c r="L16" s="72">
        <v>1</v>
      </c>
      <c r="O16" s="38"/>
    </row>
    <row r="17" spans="3:15">
      <c r="C17" s="10" t="s">
        <v>62</v>
      </c>
      <c r="E17" s="76">
        <v>402.86</v>
      </c>
      <c r="H17" s="38"/>
      <c r="J17" s="10" t="s">
        <v>62</v>
      </c>
      <c r="L17" s="76">
        <v>402.86</v>
      </c>
      <c r="O17" s="38"/>
    </row>
    <row r="18" spans="3:15" ht="15" thickBot="1">
      <c r="C18" s="15" t="s">
        <v>61</v>
      </c>
      <c r="D18" s="17"/>
      <c r="E18" s="62">
        <f>E16*E17</f>
        <v>402.86</v>
      </c>
      <c r="F18" s="17"/>
      <c r="G18" s="17"/>
      <c r="H18" s="39"/>
      <c r="J18" s="15" t="s">
        <v>61</v>
      </c>
      <c r="K18" s="17"/>
      <c r="L18" s="62">
        <f>L16*L17</f>
        <v>402.86</v>
      </c>
      <c r="M18" s="17"/>
      <c r="N18" s="17"/>
      <c r="O18" s="39"/>
    </row>
    <row r="19" spans="3:15">
      <c r="C19" s="53" t="s">
        <v>67</v>
      </c>
      <c r="D19" s="8"/>
      <c r="E19" s="8"/>
      <c r="F19" s="8"/>
      <c r="G19" s="8"/>
      <c r="H19" s="40"/>
      <c r="J19" s="53" t="s">
        <v>67</v>
      </c>
      <c r="K19" s="8"/>
      <c r="L19" s="8"/>
      <c r="M19" s="8"/>
      <c r="N19" s="8"/>
      <c r="O19" s="40"/>
    </row>
    <row r="20" spans="3:15" ht="15" thickBot="1">
      <c r="C20" s="15" t="s">
        <v>64</v>
      </c>
      <c r="D20" s="17"/>
      <c r="E20" s="75">
        <f>E18+E14</f>
        <v>34242.82</v>
      </c>
      <c r="F20" s="17"/>
      <c r="G20" s="17"/>
      <c r="H20" s="39"/>
      <c r="J20" s="15" t="s">
        <v>64</v>
      </c>
      <c r="K20" s="17"/>
      <c r="L20" s="75">
        <f>L18+L14</f>
        <v>34242.82</v>
      </c>
      <c r="M20" s="17"/>
      <c r="N20" s="17"/>
      <c r="O20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O9"/>
  <sheetViews>
    <sheetView workbookViewId="0">
      <selection activeCell="H9" sqref="H9"/>
    </sheetView>
  </sheetViews>
  <sheetFormatPr defaultRowHeight="14.4"/>
  <cols>
    <col min="4" max="4" width="13.5546875" customWidth="1"/>
    <col min="8" max="8" width="14.88671875" bestFit="1" customWidth="1"/>
    <col min="9" max="9" width="16.5546875" customWidth="1"/>
    <col min="11" max="11" width="13.88671875" customWidth="1"/>
    <col min="15" max="15" width="14.88671875" bestFit="1" customWidth="1"/>
  </cols>
  <sheetData>
    <row r="2" spans="3:15" ht="15" thickBot="1">
      <c r="C2" t="s">
        <v>42</v>
      </c>
      <c r="D2" s="2"/>
      <c r="H2" s="3"/>
      <c r="J2" t="s">
        <v>44</v>
      </c>
    </row>
    <row r="3" spans="3:15" ht="18.600000000000001" thickBot="1">
      <c r="C3" s="46" t="s">
        <v>40</v>
      </c>
      <c r="D3" s="47"/>
      <c r="E3" s="48"/>
      <c r="F3" s="48"/>
      <c r="G3" s="48"/>
      <c r="H3" s="49"/>
      <c r="J3" s="46" t="s">
        <v>40</v>
      </c>
      <c r="K3" s="47"/>
      <c r="L3" s="48"/>
      <c r="M3" s="48"/>
      <c r="N3" s="48"/>
      <c r="O3" s="49"/>
    </row>
    <row r="4" spans="3:15">
      <c r="C4" s="53"/>
      <c r="D4" s="7"/>
      <c r="E4" s="8"/>
      <c r="F4" s="8"/>
      <c r="G4" s="8"/>
      <c r="H4" s="9" t="s">
        <v>22</v>
      </c>
      <c r="J4" s="53"/>
      <c r="K4" s="7"/>
      <c r="L4" s="8"/>
      <c r="M4" s="8"/>
      <c r="N4" s="8"/>
      <c r="O4" s="9" t="s">
        <v>22</v>
      </c>
    </row>
    <row r="5" spans="3:15" ht="29.4" thickBot="1">
      <c r="C5" s="65" t="s">
        <v>1</v>
      </c>
      <c r="D5" s="33" t="s">
        <v>11</v>
      </c>
      <c r="E5" s="17"/>
      <c r="F5" s="17"/>
      <c r="G5" s="17"/>
      <c r="H5" s="66">
        <v>8537</v>
      </c>
      <c r="J5" s="65" t="s">
        <v>1</v>
      </c>
      <c r="K5" s="67" t="s">
        <v>11</v>
      </c>
      <c r="L5" s="68"/>
      <c r="M5" s="68"/>
      <c r="N5" s="68"/>
      <c r="O5" s="69">
        <v>7971</v>
      </c>
    </row>
    <row r="7" spans="3:15">
      <c r="C7" t="s">
        <v>54</v>
      </c>
      <c r="J7" t="s">
        <v>248</v>
      </c>
    </row>
    <row r="9" spans="3:15">
      <c r="D9" s="6">
        <v>7761</v>
      </c>
      <c r="G9" s="5">
        <v>0.1</v>
      </c>
      <c r="H9" s="6">
        <f>D9*(1+G9)</f>
        <v>8537.1</v>
      </c>
      <c r="K9" s="6">
        <v>7971</v>
      </c>
      <c r="N9" s="70"/>
      <c r="O9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O9"/>
  <sheetViews>
    <sheetView workbookViewId="0">
      <selection activeCell="O6" sqref="O6"/>
    </sheetView>
  </sheetViews>
  <sheetFormatPr defaultRowHeight="14.4"/>
  <cols>
    <col min="3" max="3" width="12.33203125" bestFit="1" customWidth="1"/>
    <col min="8" max="8" width="14.88671875" bestFit="1" customWidth="1"/>
    <col min="9" max="9" width="18.33203125" customWidth="1"/>
    <col min="15" max="15" width="14.88671875" bestFit="1" customWidth="1"/>
  </cols>
  <sheetData>
    <row r="3" spans="3:15" ht="15" thickBot="1">
      <c r="C3" t="s">
        <v>42</v>
      </c>
      <c r="D3" s="2"/>
      <c r="H3" s="3"/>
      <c r="J3" t="s">
        <v>44</v>
      </c>
    </row>
    <row r="4" spans="3:15" ht="18.600000000000001" thickBot="1">
      <c r="C4" s="46" t="s">
        <v>40</v>
      </c>
      <c r="D4" s="47"/>
      <c r="E4" s="48"/>
      <c r="F4" s="48"/>
      <c r="G4" s="48"/>
      <c r="H4" s="49"/>
      <c r="J4" s="46" t="s">
        <v>40</v>
      </c>
      <c r="K4" s="47"/>
      <c r="L4" s="48"/>
      <c r="M4" s="48"/>
      <c r="N4" s="48"/>
      <c r="O4" s="49"/>
    </row>
    <row r="5" spans="3:15">
      <c r="C5" s="53"/>
      <c r="D5" s="7"/>
      <c r="E5" s="8"/>
      <c r="F5" s="8"/>
      <c r="G5" s="8"/>
      <c r="H5" s="9" t="s">
        <v>22</v>
      </c>
      <c r="J5" s="53"/>
      <c r="K5" s="7"/>
      <c r="L5" s="8"/>
      <c r="M5" s="8"/>
      <c r="N5" s="8"/>
      <c r="O5" s="9" t="s">
        <v>22</v>
      </c>
    </row>
    <row r="6" spans="3:15" ht="15" thickBot="1">
      <c r="C6" s="65" t="s">
        <v>2</v>
      </c>
      <c r="D6" s="33" t="s">
        <v>12</v>
      </c>
      <c r="E6" s="17"/>
      <c r="F6" s="17"/>
      <c r="G6" s="17"/>
      <c r="H6" s="66">
        <v>20310.86</v>
      </c>
      <c r="J6" s="65" t="s">
        <v>2</v>
      </c>
      <c r="K6" s="33" t="s">
        <v>12</v>
      </c>
      <c r="L6" s="17"/>
      <c r="M6" s="17"/>
      <c r="N6" s="17"/>
      <c r="O6" s="66">
        <v>20310.86</v>
      </c>
    </row>
    <row r="7" spans="3:15" ht="15" thickBot="1"/>
    <row r="8" spans="3:15">
      <c r="C8" s="53" t="s">
        <v>68</v>
      </c>
      <c r="D8" s="8"/>
      <c r="E8" s="8"/>
      <c r="F8" s="8" t="s">
        <v>69</v>
      </c>
      <c r="G8" s="8"/>
      <c r="H8" s="40"/>
    </row>
    <row r="9" spans="3:15" ht="15" thickBot="1">
      <c r="C9" s="78">
        <v>18464.419999999998</v>
      </c>
      <c r="D9" s="17"/>
      <c r="E9" s="17"/>
      <c r="F9" s="79">
        <v>0.1</v>
      </c>
      <c r="G9" s="17"/>
      <c r="H9" s="64">
        <f>C9*(1+F9)</f>
        <v>20310.862000000001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O11"/>
  <sheetViews>
    <sheetView tabSelected="1" workbookViewId="0">
      <selection activeCell="M11" sqref="M11"/>
    </sheetView>
  </sheetViews>
  <sheetFormatPr defaultRowHeight="14.4"/>
  <cols>
    <col min="6" max="6" width="13.44140625" bestFit="1" customWidth="1"/>
    <col min="8" max="8" width="14.88671875" bestFit="1" customWidth="1"/>
    <col min="9" max="9" width="23.6640625" customWidth="1"/>
    <col min="13" max="13" width="13.44140625" bestFit="1" customWidth="1"/>
    <col min="15" max="15" width="14.88671875" bestFit="1" customWidth="1"/>
  </cols>
  <sheetData>
    <row r="2" spans="3:15" ht="15" thickBot="1">
      <c r="C2" t="s">
        <v>42</v>
      </c>
      <c r="D2" s="2"/>
      <c r="H2" s="3"/>
      <c r="J2" t="s">
        <v>44</v>
      </c>
    </row>
    <row r="3" spans="3:15" ht="18.600000000000001" thickBot="1">
      <c r="C3" s="46" t="s">
        <v>40</v>
      </c>
      <c r="D3" s="47"/>
      <c r="E3" s="48"/>
      <c r="F3" s="48"/>
      <c r="G3" s="48"/>
      <c r="H3" s="49"/>
      <c r="J3" s="46" t="s">
        <v>40</v>
      </c>
      <c r="K3" s="47"/>
      <c r="L3" s="48"/>
      <c r="M3" s="48"/>
      <c r="N3" s="48"/>
      <c r="O3" s="49"/>
    </row>
    <row r="4" spans="3:15">
      <c r="C4" s="53"/>
      <c r="D4" s="7"/>
      <c r="E4" s="8"/>
      <c r="F4" s="8"/>
      <c r="G4" s="8"/>
      <c r="H4" s="9" t="s">
        <v>22</v>
      </c>
      <c r="J4" s="53"/>
      <c r="K4" s="7"/>
      <c r="L4" s="8"/>
      <c r="M4" s="8"/>
      <c r="N4" s="8"/>
      <c r="O4" s="9" t="s">
        <v>22</v>
      </c>
    </row>
    <row r="5" spans="3:15" ht="15" thickBot="1">
      <c r="C5" s="65" t="s">
        <v>3</v>
      </c>
      <c r="D5" s="33" t="s">
        <v>13</v>
      </c>
      <c r="E5" s="17"/>
      <c r="F5" s="17"/>
      <c r="G5" s="17"/>
      <c r="H5" s="66">
        <v>248854.98</v>
      </c>
      <c r="J5" s="65" t="s">
        <v>3</v>
      </c>
      <c r="K5" s="33" t="s">
        <v>13</v>
      </c>
      <c r="L5" s="17"/>
      <c r="M5" s="17"/>
      <c r="N5" s="17"/>
      <c r="O5" s="66">
        <v>248854.98</v>
      </c>
    </row>
    <row r="7" spans="3:15" ht="15" thickBot="1"/>
    <row r="8" spans="3:15">
      <c r="C8" s="53" t="s">
        <v>72</v>
      </c>
      <c r="D8" s="8"/>
      <c r="E8" s="8"/>
      <c r="F8" s="80">
        <v>37705.300000000003</v>
      </c>
      <c r="G8" s="8"/>
      <c r="H8" s="40"/>
      <c r="J8" s="53" t="s">
        <v>72</v>
      </c>
      <c r="K8" s="8"/>
      <c r="L8" s="8"/>
      <c r="M8" s="80">
        <v>37705.300000000003</v>
      </c>
      <c r="N8" s="8"/>
      <c r="O8" s="40"/>
    </row>
    <row r="9" spans="3:15">
      <c r="C9" s="10" t="s">
        <v>70</v>
      </c>
      <c r="F9" s="81">
        <v>0.1</v>
      </c>
      <c r="H9" s="38"/>
      <c r="J9" s="10" t="s">
        <v>70</v>
      </c>
      <c r="M9" s="81">
        <v>0.1</v>
      </c>
      <c r="O9" s="38"/>
    </row>
    <row r="10" spans="3:15">
      <c r="C10" s="10" t="s">
        <v>71</v>
      </c>
      <c r="F10" s="76">
        <v>6</v>
      </c>
      <c r="H10" s="38"/>
      <c r="J10" s="10" t="s">
        <v>71</v>
      </c>
      <c r="M10" s="76">
        <v>6</v>
      </c>
      <c r="O10" s="38"/>
    </row>
    <row r="11" spans="3:15" ht="15" thickBot="1">
      <c r="C11" s="15"/>
      <c r="D11" s="17"/>
      <c r="E11" s="17"/>
      <c r="F11" s="62">
        <f>F8*F10*(1+F9)</f>
        <v>248854.98000000004</v>
      </c>
      <c r="G11" s="17"/>
      <c r="H11" s="39"/>
      <c r="J11" s="15"/>
      <c r="K11" s="17"/>
      <c r="L11" s="17"/>
      <c r="M11" s="62">
        <f>M8*M10*(1+M9)</f>
        <v>248854.98000000004</v>
      </c>
      <c r="N11" s="17"/>
      <c r="O11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R31"/>
  <sheetViews>
    <sheetView topLeftCell="A7" workbookViewId="0">
      <selection activeCell="Q10" sqref="Q10"/>
    </sheetView>
  </sheetViews>
  <sheetFormatPr defaultRowHeight="14.4"/>
  <cols>
    <col min="3" max="3" width="12.109375" customWidth="1"/>
    <col min="4" max="4" width="18.5546875" customWidth="1"/>
    <col min="5" max="5" width="9.5546875" bestFit="1" customWidth="1"/>
    <col min="6" max="6" width="13.109375" bestFit="1" customWidth="1"/>
    <col min="7" max="7" width="12.109375" customWidth="1"/>
    <col min="8" max="8" width="19.88671875" customWidth="1"/>
    <col min="9" max="9" width="6.33203125" customWidth="1"/>
    <col min="10" max="10" width="13.33203125" customWidth="1"/>
    <col min="11" max="11" width="17.33203125" customWidth="1"/>
    <col min="15" max="15" width="14.88671875" bestFit="1" customWidth="1"/>
    <col min="17" max="17" width="12.33203125" bestFit="1" customWidth="1"/>
    <col min="18" max="18" width="14.88671875" bestFit="1" customWidth="1"/>
  </cols>
  <sheetData>
    <row r="3" spans="3:18" ht="15" thickBot="1">
      <c r="C3" t="s">
        <v>42</v>
      </c>
      <c r="D3" s="2"/>
      <c r="H3" s="3"/>
      <c r="J3" t="s">
        <v>44</v>
      </c>
    </row>
    <row r="4" spans="3:18" ht="18.600000000000001" thickBot="1">
      <c r="C4" s="46" t="s">
        <v>40</v>
      </c>
      <c r="D4" s="47"/>
      <c r="E4" s="48"/>
      <c r="F4" s="48"/>
      <c r="G4" s="48"/>
      <c r="H4" s="49"/>
      <c r="J4" s="46" t="s">
        <v>40</v>
      </c>
      <c r="K4" s="47"/>
      <c r="L4" s="48"/>
      <c r="M4" s="48"/>
      <c r="N4" s="48"/>
      <c r="O4" s="49"/>
    </row>
    <row r="5" spans="3:18">
      <c r="C5" s="53"/>
      <c r="D5" s="7"/>
      <c r="E5" s="8"/>
      <c r="F5" s="8"/>
      <c r="G5" s="8"/>
      <c r="H5" s="9" t="s">
        <v>22</v>
      </c>
      <c r="J5" s="53"/>
      <c r="K5" s="7"/>
      <c r="L5" s="8"/>
      <c r="M5" s="8"/>
      <c r="N5" s="8"/>
      <c r="O5" s="9" t="s">
        <v>22</v>
      </c>
    </row>
    <row r="6" spans="3:18" ht="38.25" customHeight="1">
      <c r="C6" s="12" t="s">
        <v>4</v>
      </c>
      <c r="D6" s="2" t="s">
        <v>14</v>
      </c>
      <c r="H6" s="13">
        <f>H7+H8+H9+H10+H11</f>
        <v>1623305.1099999996</v>
      </c>
      <c r="J6" s="12" t="s">
        <v>4</v>
      </c>
      <c r="K6" s="2" t="s">
        <v>14</v>
      </c>
      <c r="O6" s="13">
        <f>O7+O8+O9+O10+O11</f>
        <v>1596321.0699999998</v>
      </c>
    </row>
    <row r="7" spans="3:18">
      <c r="C7" s="14">
        <v>1</v>
      </c>
      <c r="D7" s="23" t="s">
        <v>17</v>
      </c>
      <c r="E7" s="24"/>
      <c r="F7" s="24"/>
      <c r="G7" s="24"/>
      <c r="H7" s="25">
        <v>25182.9</v>
      </c>
      <c r="I7" s="24"/>
      <c r="J7" s="71">
        <v>1</v>
      </c>
      <c r="K7" s="23" t="s">
        <v>17</v>
      </c>
      <c r="L7" s="24"/>
      <c r="M7" s="24"/>
      <c r="N7" s="24"/>
      <c r="O7" s="25">
        <v>20984</v>
      </c>
    </row>
    <row r="8" spans="3:18">
      <c r="C8" s="14">
        <v>2</v>
      </c>
      <c r="D8" s="23" t="s">
        <v>18</v>
      </c>
      <c r="E8" s="24"/>
      <c r="F8" s="24"/>
      <c r="G8" s="24"/>
      <c r="H8" s="25">
        <v>1393314.43</v>
      </c>
      <c r="I8" s="24"/>
      <c r="J8" s="71">
        <v>2</v>
      </c>
      <c r="K8" s="23" t="s">
        <v>18</v>
      </c>
      <c r="L8" s="24"/>
      <c r="M8" s="24"/>
      <c r="N8" s="24"/>
      <c r="O8" s="25">
        <v>1409310.67</v>
      </c>
    </row>
    <row r="9" spans="3:18">
      <c r="C9" s="14">
        <v>3</v>
      </c>
      <c r="D9" s="23" t="s">
        <v>19</v>
      </c>
      <c r="E9" s="24"/>
      <c r="F9" s="24"/>
      <c r="G9" s="24"/>
      <c r="H9" s="25">
        <v>131770.98000000001</v>
      </c>
      <c r="I9" s="24"/>
      <c r="J9" s="71">
        <v>3</v>
      </c>
      <c r="K9" s="23" t="s">
        <v>19</v>
      </c>
      <c r="L9" s="24"/>
      <c r="M9" s="24"/>
      <c r="N9" s="24"/>
      <c r="O9" s="25">
        <v>100792</v>
      </c>
    </row>
    <row r="10" spans="3:18">
      <c r="C10" s="14">
        <v>4</v>
      </c>
      <c r="D10" s="2" t="s">
        <v>20</v>
      </c>
      <c r="H10" s="13">
        <v>28802.400000000001</v>
      </c>
      <c r="J10" s="14">
        <v>4</v>
      </c>
      <c r="K10" s="2" t="s">
        <v>20</v>
      </c>
      <c r="O10" s="13">
        <v>21000</v>
      </c>
      <c r="Q10" s="27"/>
    </row>
    <row r="11" spans="3:18" ht="29.4" thickBot="1">
      <c r="C11" s="193">
        <v>5</v>
      </c>
      <c r="D11" s="33" t="s">
        <v>21</v>
      </c>
      <c r="E11" s="17"/>
      <c r="F11" s="17"/>
      <c r="G11" s="17"/>
      <c r="H11" s="66">
        <v>44234.400000000001</v>
      </c>
      <c r="J11" s="193">
        <v>5</v>
      </c>
      <c r="K11" s="33" t="s">
        <v>21</v>
      </c>
      <c r="L11" s="17"/>
      <c r="M11" s="17"/>
      <c r="N11" s="17"/>
      <c r="O11" s="66">
        <v>44234.400000000001</v>
      </c>
      <c r="R11" s="6"/>
    </row>
    <row r="12" spans="3:18">
      <c r="R12" s="6"/>
    </row>
    <row r="13" spans="3:18">
      <c r="R13" s="6"/>
    </row>
    <row r="14" spans="3:18">
      <c r="C14" s="44"/>
      <c r="R14" s="6"/>
    </row>
    <row r="15" spans="3:18" ht="15" customHeight="1">
      <c r="Q15" s="27"/>
    </row>
    <row r="16" spans="3:18">
      <c r="E16" s="195"/>
      <c r="F16" s="195"/>
      <c r="H16" s="195"/>
    </row>
    <row r="17" spans="3:15" ht="15" customHeight="1">
      <c r="C17" s="237" t="s">
        <v>249</v>
      </c>
      <c r="D17" s="238"/>
      <c r="E17" s="238"/>
      <c r="F17" s="238"/>
      <c r="G17" s="238"/>
      <c r="H17" s="239"/>
      <c r="J17" s="4" t="s">
        <v>250</v>
      </c>
      <c r="K17" s="4" t="s">
        <v>251</v>
      </c>
      <c r="L17" s="4"/>
      <c r="O17" s="27"/>
    </row>
    <row r="18" spans="3:15" ht="15" customHeight="1">
      <c r="C18" s="196" t="s">
        <v>252</v>
      </c>
      <c r="D18" s="20">
        <v>6</v>
      </c>
      <c r="E18" s="197">
        <v>5266</v>
      </c>
      <c r="F18" s="197">
        <f>D18*E18</f>
        <v>31596</v>
      </c>
      <c r="G18" s="20">
        <v>12</v>
      </c>
      <c r="H18" s="197">
        <f>F18*G18</f>
        <v>379152</v>
      </c>
      <c r="J18" s="195">
        <v>61</v>
      </c>
      <c r="O18" s="27"/>
    </row>
    <row r="19" spans="3:15">
      <c r="C19" s="196" t="s">
        <v>253</v>
      </c>
      <c r="D19" s="20">
        <v>6</v>
      </c>
      <c r="E19" s="197">
        <v>4966</v>
      </c>
      <c r="F19" s="197">
        <f>D19*E19</f>
        <v>29796</v>
      </c>
      <c r="G19" s="20">
        <v>12</v>
      </c>
      <c r="H19" s="197">
        <f>F19*G19</f>
        <v>357552</v>
      </c>
    </row>
    <row r="20" spans="3:15">
      <c r="C20" s="234" t="s">
        <v>254</v>
      </c>
      <c r="D20" s="235"/>
      <c r="E20" s="235"/>
      <c r="F20" s="235"/>
      <c r="G20" s="236"/>
      <c r="H20" s="197">
        <v>186000</v>
      </c>
    </row>
    <row r="21" spans="3:15">
      <c r="C21" s="234" t="s">
        <v>255</v>
      </c>
      <c r="D21" s="235"/>
      <c r="E21" s="235"/>
      <c r="F21" s="235"/>
      <c r="G21" s="236"/>
      <c r="H21" s="197">
        <f>J22</f>
        <v>147340.79999999999</v>
      </c>
    </row>
    <row r="22" spans="3:15">
      <c r="C22" s="234" t="s">
        <v>256</v>
      </c>
      <c r="D22" s="235"/>
      <c r="E22" s="235"/>
      <c r="F22" s="235"/>
      <c r="G22" s="236"/>
      <c r="H22" s="197">
        <f>(H18+H19+H20+H21)*8.5%</f>
        <v>90953.808000000005</v>
      </c>
      <c r="J22" s="195">
        <v>147340.79999999999</v>
      </c>
    </row>
    <row r="23" spans="3:15">
      <c r="C23" s="234" t="s">
        <v>257</v>
      </c>
      <c r="D23" s="235"/>
      <c r="E23" s="235"/>
      <c r="F23" s="235"/>
      <c r="G23" s="236"/>
      <c r="H23" s="197">
        <v>100792</v>
      </c>
    </row>
    <row r="24" spans="3:15">
      <c r="C24" s="234" t="s">
        <v>258</v>
      </c>
      <c r="D24" s="235"/>
      <c r="E24" s="235"/>
      <c r="F24" s="235"/>
      <c r="G24" s="236"/>
      <c r="H24" s="197">
        <f>14*1500</f>
        <v>21000</v>
      </c>
      <c r="J24" s="195"/>
    </row>
    <row r="25" spans="3:15">
      <c r="C25" s="234" t="s">
        <v>259</v>
      </c>
      <c r="D25" s="235"/>
      <c r="E25" s="235"/>
      <c r="F25" s="235"/>
      <c r="G25" s="236"/>
      <c r="H25" s="197">
        <f>688*30.5</f>
        <v>20984</v>
      </c>
    </row>
    <row r="26" spans="3:15">
      <c r="C26" s="240" t="s">
        <v>260</v>
      </c>
      <c r="D26" s="241"/>
      <c r="E26" s="241"/>
      <c r="F26" s="241"/>
      <c r="G26" s="242"/>
      <c r="H26" s="198">
        <f>H18+H19+H20+H21+H22+H23+H24+H25</f>
        <v>1303774.608</v>
      </c>
    </row>
    <row r="27" spans="3:15">
      <c r="C27" s="234" t="s">
        <v>261</v>
      </c>
      <c r="D27" s="235"/>
      <c r="E27" s="235"/>
      <c r="F27" s="235"/>
      <c r="G27" s="236"/>
      <c r="H27" s="197">
        <f>H26*20.01%-12573.24</f>
        <v>248312.05906080003</v>
      </c>
    </row>
    <row r="28" spans="3:15">
      <c r="C28" s="234" t="s">
        <v>262</v>
      </c>
      <c r="D28" s="235"/>
      <c r="E28" s="235"/>
      <c r="F28" s="235"/>
      <c r="G28" s="236"/>
      <c r="H28" s="197">
        <f>K30</f>
        <v>44234.399999999994</v>
      </c>
      <c r="J28" t="s">
        <v>263</v>
      </c>
      <c r="K28" s="195">
        <f>(E18+20%*E18)*3</f>
        <v>18957.599999999999</v>
      </c>
    </row>
    <row r="29" spans="3:15">
      <c r="C29" s="240" t="s">
        <v>264</v>
      </c>
      <c r="D29" s="241"/>
      <c r="E29" s="241"/>
      <c r="F29" s="241"/>
      <c r="G29" s="242"/>
      <c r="H29" s="198">
        <f>H26+H27+H28</f>
        <v>1596321.0670608</v>
      </c>
      <c r="J29" t="s">
        <v>265</v>
      </c>
      <c r="K29" s="195">
        <f>(E18+20%*E18)*400%</f>
        <v>25276.799999999999</v>
      </c>
    </row>
    <row r="30" spans="3:15">
      <c r="E30" s="195"/>
      <c r="F30" s="195"/>
      <c r="H30" s="195"/>
      <c r="K30" s="199">
        <f>K28+K29</f>
        <v>44234.399999999994</v>
      </c>
    </row>
    <row r="31" spans="3:15">
      <c r="E31" s="195"/>
      <c r="F31" s="195"/>
      <c r="H31" s="195"/>
    </row>
  </sheetData>
  <mergeCells count="11">
    <mergeCell ref="C25:G25"/>
    <mergeCell ref="C26:G26"/>
    <mergeCell ref="C27:G27"/>
    <mergeCell ref="C28:G28"/>
    <mergeCell ref="C29:G29"/>
    <mergeCell ref="C24:G24"/>
    <mergeCell ref="C17:H17"/>
    <mergeCell ref="C20:G20"/>
    <mergeCell ref="C21:G21"/>
    <mergeCell ref="C22:G22"/>
    <mergeCell ref="C23:G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O14"/>
  <sheetViews>
    <sheetView workbookViewId="0">
      <selection activeCell="O8" sqref="O8"/>
    </sheetView>
  </sheetViews>
  <sheetFormatPr defaultRowHeight="14.4"/>
  <cols>
    <col min="4" max="4" width="13.44140625" bestFit="1" customWidth="1"/>
    <col min="8" max="8" width="14.88671875" bestFit="1" customWidth="1"/>
    <col min="9" max="9" width="19.44140625" customWidth="1"/>
    <col min="11" max="11" width="13.44140625" bestFit="1" customWidth="1"/>
    <col min="15" max="15" width="14.88671875" bestFit="1" customWidth="1"/>
  </cols>
  <sheetData>
    <row r="2" spans="3:15" ht="15" thickBot="1">
      <c r="C2" t="s">
        <v>42</v>
      </c>
      <c r="D2" s="2"/>
      <c r="H2" s="3"/>
      <c r="J2" t="s">
        <v>44</v>
      </c>
    </row>
    <row r="3" spans="3:15" ht="18.600000000000001" thickBot="1">
      <c r="C3" s="46" t="s">
        <v>40</v>
      </c>
      <c r="D3" s="47"/>
      <c r="E3" s="48"/>
      <c r="F3" s="48"/>
      <c r="G3" s="48"/>
      <c r="H3" s="49"/>
      <c r="J3" s="46" t="s">
        <v>40</v>
      </c>
      <c r="K3" s="47"/>
      <c r="L3" s="48"/>
      <c r="M3" s="48"/>
      <c r="N3" s="48"/>
      <c r="O3" s="49"/>
    </row>
    <row r="4" spans="3:15">
      <c r="C4" s="53"/>
      <c r="D4" s="7"/>
      <c r="E4" s="8"/>
      <c r="F4" s="8"/>
      <c r="G4" s="8"/>
      <c r="H4" s="9" t="s">
        <v>22</v>
      </c>
      <c r="J4" s="53"/>
      <c r="K4" s="7"/>
      <c r="L4" s="8"/>
      <c r="M4" s="8"/>
      <c r="N4" s="8"/>
      <c r="O4" s="9" t="s">
        <v>22</v>
      </c>
    </row>
    <row r="5" spans="3:15" ht="43.2">
      <c r="C5" s="12" t="s">
        <v>6</v>
      </c>
      <c r="D5" s="2" t="s">
        <v>15</v>
      </c>
      <c r="H5" s="13">
        <v>526292.97</v>
      </c>
      <c r="J5" s="12" t="s">
        <v>6</v>
      </c>
      <c r="K5" s="23" t="s">
        <v>15</v>
      </c>
      <c r="L5" s="24"/>
      <c r="M5" s="24"/>
      <c r="N5" s="24"/>
      <c r="O5" s="25">
        <f>O8</f>
        <v>516938.83500000002</v>
      </c>
    </row>
    <row r="6" spans="3:15">
      <c r="C6" s="10"/>
      <c r="H6" s="38"/>
      <c r="J6" s="10"/>
      <c r="O6" s="38"/>
    </row>
    <row r="7" spans="3:15">
      <c r="C7" s="10"/>
      <c r="E7" t="s">
        <v>53</v>
      </c>
      <c r="H7" s="38"/>
      <c r="J7" s="10"/>
      <c r="L7" t="s">
        <v>53</v>
      </c>
      <c r="O7" s="38"/>
    </row>
    <row r="8" spans="3:15" ht="15" thickBot="1">
      <c r="C8" s="15"/>
      <c r="D8" s="62">
        <v>492322.7</v>
      </c>
      <c r="E8" s="63">
        <v>6.9000000000000006E-2</v>
      </c>
      <c r="F8" s="17"/>
      <c r="G8" s="17"/>
      <c r="H8" s="64">
        <f>D8*(1+E8)</f>
        <v>526292.96629999997</v>
      </c>
      <c r="J8" s="15"/>
      <c r="K8" s="62">
        <v>492322.7</v>
      </c>
      <c r="L8" s="63">
        <v>0.05</v>
      </c>
      <c r="M8" s="17"/>
      <c r="N8" s="17"/>
      <c r="O8" s="64">
        <f>K8*(1+L8)</f>
        <v>516938.83500000002</v>
      </c>
    </row>
    <row r="12" spans="3:15" ht="54.75" customHeight="1">
      <c r="C12" s="231" t="s">
        <v>139</v>
      </c>
      <c r="D12" s="231"/>
      <c r="E12" s="231"/>
      <c r="F12" s="231"/>
      <c r="G12" s="231"/>
      <c r="H12" s="231"/>
      <c r="J12" s="231" t="s">
        <v>139</v>
      </c>
      <c r="K12" s="231"/>
      <c r="L12" s="231"/>
      <c r="M12" s="231"/>
      <c r="N12" s="231"/>
      <c r="O12" s="231"/>
    </row>
    <row r="13" spans="3:15">
      <c r="C13" s="231" t="s">
        <v>140</v>
      </c>
      <c r="D13" s="231"/>
      <c r="E13" s="231"/>
      <c r="F13" s="231"/>
      <c r="G13" s="231"/>
      <c r="H13" s="231"/>
      <c r="J13" s="231" t="s">
        <v>140</v>
      </c>
      <c r="K13" s="231"/>
      <c r="L13" s="231"/>
      <c r="M13" s="231"/>
      <c r="N13" s="231"/>
      <c r="O13" s="231"/>
    </row>
    <row r="14" spans="3:15">
      <c r="C14" s="231"/>
      <c r="D14" s="231"/>
      <c r="E14" s="231"/>
      <c r="F14" s="231"/>
      <c r="G14" s="231"/>
      <c r="H14" s="231"/>
      <c r="J14" s="231"/>
      <c r="K14" s="231"/>
      <c r="L14" s="231"/>
      <c r="M14" s="231"/>
      <c r="N14" s="231"/>
      <c r="O14" s="231"/>
    </row>
  </sheetData>
  <mergeCells count="4">
    <mergeCell ref="C12:H12"/>
    <mergeCell ref="C13:H14"/>
    <mergeCell ref="J12:O12"/>
    <mergeCell ref="J13:O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Kalkulacja 2025</vt:lpstr>
      <vt:lpstr>ZUK - Dane zbiorcze</vt:lpstr>
      <vt:lpstr>I. Amortyzacja</vt:lpstr>
      <vt:lpstr>II. ZFŚS</vt:lpstr>
      <vt:lpstr>III. podatek transportowy</vt:lpstr>
      <vt:lpstr>IV. Polisy OC</vt:lpstr>
      <vt:lpstr>V. Paliwo</vt:lpstr>
      <vt:lpstr>VI. Wynagrodzenia oraz ZUS</vt:lpstr>
      <vt:lpstr>VII. Pozostałe koszty odpadów</vt:lpstr>
      <vt:lpstr>VIII. Koszty Administracji</vt:lpstr>
      <vt:lpstr>IX. Koszty zakupu hakowca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 B</cp:lastModifiedBy>
  <dcterms:created xsi:type="dcterms:W3CDTF">2024-12-02T10:24:16Z</dcterms:created>
  <dcterms:modified xsi:type="dcterms:W3CDTF">2024-12-10T15:36:29Z</dcterms:modified>
</cp:coreProperties>
</file>